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Mark D\Desktop\"/>
    </mc:Choice>
  </mc:AlternateContent>
  <xr:revisionPtr revIDLastSave="0" documentId="13_ncr:1_{08FC1935-EA3A-4AAE-832E-84D399C89DC5}" xr6:coauthVersionLast="40" xr6:coauthVersionMax="40" xr10:uidLastSave="{00000000-0000-0000-0000-000000000000}"/>
  <bookViews>
    <workbookView xWindow="0" yWindow="0" windowWidth="23040" windowHeight="8730" tabRatio="798" firstSheet="3" activeTab="3" xr2:uid="{0021B3B4-7D5D-4271-A71B-46CB3C422BD6}"/>
    <workbookView xWindow="0" yWindow="0" windowWidth="14382" windowHeight="3702" tabRatio="664" firstSheet="2" activeTab="3" xr2:uid="{AD747100-2905-4A38-ABF8-88CEF5625FCC}"/>
  </bookViews>
  <sheets>
    <sheet name="market comps" sheetId="23" state="hidden" r:id="rId1"/>
    <sheet name="original" sheetId="1" state="hidden" r:id="rId2"/>
    <sheet name="notes" sheetId="24" r:id="rId3"/>
    <sheet name="Summary Board" sheetId="31" r:id="rId4"/>
    <sheet name="summary" sheetId="2" r:id="rId5"/>
    <sheet name="cockpit" sheetId="4" r:id="rId6"/>
    <sheet name="CFs-&gt;" sheetId="13" r:id="rId7"/>
    <sheet name="combined" sheetId="21" r:id="rId8"/>
    <sheet name="res, market-rate" sheetId="9" r:id="rId9"/>
    <sheet name="res, condo" sheetId="20" r:id="rId10"/>
    <sheet name="res, affordable" sheetId="14" r:id="rId11"/>
    <sheet name="office" sheetId="12" r:id="rId12"/>
    <sheet name="retail" sheetId="17" r:id="rId13"/>
    <sheet name="hotel" sheetId="18" r:id="rId14"/>
    <sheet name="public bldgs" sheetId="22" r:id="rId15"/>
    <sheet name="parking" sheetId="25" r:id="rId16"/>
    <sheet name="acq-demo-repur" sheetId="8" r:id="rId17"/>
    <sheet name="infstrc" sheetId="6" r:id="rId18"/>
    <sheet name="amschedules-&gt;" sheetId="10" r:id="rId19"/>
    <sheet name="p1" sheetId="27" r:id="rId20"/>
    <sheet name="p2" sheetId="28" r:id="rId21"/>
    <sheet name="p3" sheetId="29" r:id="rId22"/>
  </sheets>
  <definedNames>
    <definedName name="amortizationschedule">cockpit!$S$31</definedName>
    <definedName name="annualvisitors">cockpit!$C$79</definedName>
    <definedName name="Beginning_Balance" localSheetId="20">-FV('p2'!Interest_Rate/12,'p2'!Payment_Number-1,-'p2'!Monthly_Payment,'p2'!Loan_Amount)</definedName>
    <definedName name="Beginning_Balance" localSheetId="21">-FV('p3'!Interest_Rate/12,'p3'!Payment_Number-1,-'p3'!Monthly_Payment,'p3'!Loan_Amount)</definedName>
    <definedName name="Beginning_Balance">-FV(Interest_Rate/12,Payment_Number-1,-Monthly_Payment,Loan_Amount)</definedName>
    <definedName name="blendedcaprate">cockpit!$AC$17</definedName>
    <definedName name="Closingcosts">cockpit!$K$51</definedName>
    <definedName name="ColumnTitle1" localSheetId="20">Loan3[[#Headers],[No.]]</definedName>
    <definedName name="ColumnTitle1" localSheetId="21">Loan34[[#Headers],[No.]]</definedName>
    <definedName name="ColumnTitle1">Loan[[#Headers],[No.]]</definedName>
    <definedName name="Condoaveragesize">cockpit!$C$28</definedName>
    <definedName name="CondoconstructionPSF">cockpit!$X$9</definedName>
    <definedName name="Condocostofsale">cockpit!$K$52</definedName>
    <definedName name="CondosalePSF">cockpit!$E$28</definedName>
    <definedName name="Constructioninterestrate">cockpit!$S$25</definedName>
    <definedName name="Constructionservicingfees">cockpit!$S$26</definedName>
    <definedName name="Constructiontime">cockpit!$K$28</definedName>
    <definedName name="demolitionbuildingPSF">cockpit!$K$34</definedName>
    <definedName name="demolitionsurfacelot">cockpit!$K$33</definedName>
    <definedName name="Developerfee">cockpit!$K$29</definedName>
    <definedName name="discountrate">cockpit!$S$34</definedName>
    <definedName name="dispositionyear">cockpit!$K$50</definedName>
    <definedName name="Ending_Balance" localSheetId="20">-FV('p2'!Interest_Rate/12,'p2'!Payment_Number,-'p2'!Monthly_Payment,'p2'!Loan_Amount)</definedName>
    <definedName name="Ending_Balance" localSheetId="21">-FV('p3'!Interest_Rate/12,'p3'!Payment_Number,-'p3'!Monthly_Payment,'p3'!Loan_Amount)</definedName>
    <definedName name="Ending_Balance">-FV(Interest_Rate/12,Payment_Number,-Monthly_Payment,Loan_Amount)</definedName>
    <definedName name="entrancefee">cockpit!$C$80</definedName>
    <definedName name="Full_Print" localSheetId="20">'p2'!$A$1:$H$377</definedName>
    <definedName name="Full_Print" localSheetId="21">'p3'!$A$1:$H$377</definedName>
    <definedName name="Full_Print">'p1'!$A$1:$H$377</definedName>
    <definedName name="giftshopincome">cockpit!$F$70</definedName>
    <definedName name="Header_Row" localSheetId="20">ROW('p2'!$17:$17)</definedName>
    <definedName name="Header_Row" localSheetId="21">ROW('p3'!$17:$17)</definedName>
    <definedName name="Header_Row">ROW('p1'!$17:$17)</definedName>
    <definedName name="Header_Row_Back" localSheetId="20">ROW('p2'!$17:$17)</definedName>
    <definedName name="Header_Row_Back" localSheetId="21">ROW('p3'!$17:$17)</definedName>
    <definedName name="Header_Row_Back">ROW('p1'!$17:$17)</definedName>
    <definedName name="hoteladr">cockpit!$C$52</definedName>
    <definedName name="Hotelaverageroomsize">cockpit!$C$50</definedName>
    <definedName name="hotelconstructioncostPSF">cockpit!$X$12</definedName>
    <definedName name="hotelfoodandbeverageincome">cockpit!$C$56</definedName>
    <definedName name="hotelfoodandbeveragemargin">cockpit!$D$56</definedName>
    <definedName name="hotelotherincome">cockpit!$C$57</definedName>
    <definedName name="hotelotherincomemargin">cockpit!$D$57</definedName>
    <definedName name="Hotelrampup">cockpit!$L$12</definedName>
    <definedName name="Hotelvacancy">cockpit!$M$12</definedName>
    <definedName name="Inflation">cockpit!$K$40</definedName>
    <definedName name="Interest" localSheetId="20">-IPMT('p2'!Interest_Rate/12,'p2'!Payment_Number,'p2'!Number_of_Payments,'p2'!Loan_Amount)</definedName>
    <definedName name="Interest" localSheetId="21">-IPMT('p3'!Interest_Rate/12,'p3'!Payment_Number,'p3'!Number_of_Payments,'p3'!Loan_Amount)</definedName>
    <definedName name="Interest">-IPMT(Interest_Rate/12,Payment_Number,Number_of_Payments,Loan_Amount)</definedName>
    <definedName name="Interest_Rate" localSheetId="20">'p2'!$E$4</definedName>
    <definedName name="Interest_Rate" localSheetId="21">'p3'!$E$4</definedName>
    <definedName name="Interest_Rate">'p1'!$E$4</definedName>
    <definedName name="Investmenthorizon">cockpit!$K$49</definedName>
    <definedName name="Last_Row" localSheetId="20">IF('p2'!Values_Entered,'p2'!Header_Row+'p2'!Number_of_Payments,'p2'!Header_Row)</definedName>
    <definedName name="Last_Row" localSheetId="21">IF('p3'!Values_Entered,'p3'!Header_Row+'p3'!Number_of_Payments,'p3'!Header_Row)</definedName>
    <definedName name="Last_Row">IF(Values_Entered,Header_Row+Number_of_Payments,Header_Row)</definedName>
    <definedName name="Loan_Amount" localSheetId="20">'p2'!$E$3</definedName>
    <definedName name="Loan_Amount" localSheetId="21">'p3'!$E$3</definedName>
    <definedName name="Loan_Amount">'p1'!$E$3</definedName>
    <definedName name="Loan_Not_Paid" localSheetId="20">IF('p2'!Payment_Number&lt;='p2'!Number_of_Payments,1,0)</definedName>
    <definedName name="Loan_Not_Paid" localSheetId="21">IF('p3'!Payment_Number&lt;='p3'!Number_of_Payments,1,0)</definedName>
    <definedName name="Loan_Not_Paid">IF(Payment_Number&lt;=Number_of_Payments,1,0)</definedName>
    <definedName name="Loan_Start" localSheetId="20">'p2'!$E$6</definedName>
    <definedName name="Loan_Start" localSheetId="21">'p3'!$E$6</definedName>
    <definedName name="Loan_Start">'p1'!$E$6</definedName>
    <definedName name="Loan_Years" localSheetId="20">'p2'!$E$5</definedName>
    <definedName name="Loan_Years" localSheetId="21">'p3'!$E$5</definedName>
    <definedName name="Loan_Years">'p1'!$E$5</definedName>
    <definedName name="Loantocost">cockpit!$S$24</definedName>
    <definedName name="loantovalue">cockpit!$S$29</definedName>
    <definedName name="MarketrateSF">summary!$AC$12</definedName>
    <definedName name="Monthly_Payment" localSheetId="20">-PMT('p2'!Interest_Rate/12,'p2'!Number_of_Payments,'p2'!Loan_Amount)</definedName>
    <definedName name="Monthly_Payment" localSheetId="21">-PMT('p3'!Interest_Rate/12,'p3'!Number_of_Payments,'p3'!Loan_Amount)</definedName>
    <definedName name="Monthly_Payment">-PMT(Interest_Rate/12,Number_of_Payments,Loan_Amount)</definedName>
    <definedName name="Number_of_Payments" localSheetId="20">'p2'!$E$9</definedName>
    <definedName name="Number_of_Payments" localSheetId="21">'p3'!$E$9</definedName>
    <definedName name="Number_of_Payments">'p1'!$E$9</definedName>
    <definedName name="OfficeconstructionratePSF">cockpit!$X$10</definedName>
    <definedName name="officeentrycaprate">cockpit!$T$10</definedName>
    <definedName name="officeexitcap">cockpit!$U$10</definedName>
    <definedName name="OfficemarketratePSF">cockpit!$C$34</definedName>
    <definedName name="officeopex">cockpit!$O$10</definedName>
    <definedName name="Officerampup">cockpit!$L$10</definedName>
    <definedName name="Officevacancy">cockpit!$M$10</definedName>
    <definedName name="parkingaveragespacesize">cockpit!$C$62</definedName>
    <definedName name="parkingconstructioncostPSF">cockpit!$X$15</definedName>
    <definedName name="parkingrampup">cockpit!$L$15</definedName>
    <definedName name="parkingrevenueperspacepermonth">cockpit!$G$64</definedName>
    <definedName name="Payment_Date" localSheetId="20">DATE(YEAR('p2'!Loan_Start),MONTH('p2'!Loan_Start)+'p2'!Payment_Number,DAY('p2'!Loan_Start))</definedName>
    <definedName name="Payment_Date" localSheetId="21">DATE(YEAR('p3'!Loan_Start),MONTH('p3'!Loan_Start)+'p3'!Payment_Number,DAY('p3'!Loan_Start))</definedName>
    <definedName name="Payment_Date">DATE(YEAR(Loan_Start),MONTH(Loan_Start)+Payment_Number,DAY(Loan_Start))</definedName>
    <definedName name="Payment_Number" localSheetId="20">ROW()-'p2'!Header_Row</definedName>
    <definedName name="Payment_Number" localSheetId="21">ROW()-'p3'!Header_Row</definedName>
    <definedName name="Payment_Number">ROW()-Header_Row</definedName>
    <definedName name="permanentinterestrate">cockpit!$S$30</definedName>
    <definedName name="permanentservicingfees">cockpit!$S$32</definedName>
    <definedName name="Phase1">cockpit!$J$24</definedName>
    <definedName name="Phase1begin">cockpit!$K$24</definedName>
    <definedName name="Phase1end">cockpit!$L$24</definedName>
    <definedName name="Phase1open">cockpit!$M$24</definedName>
    <definedName name="phase1stabilizationyear">cockpit!$N$24</definedName>
    <definedName name="Phase2">cockpit!$J$25</definedName>
    <definedName name="Phase2begin">cockpit!$K$25</definedName>
    <definedName name="Phase2end">cockpit!$L$25</definedName>
    <definedName name="Phase2open">cockpit!$M$25</definedName>
    <definedName name="phase2stabilizationyear">cockpit!$N$25</definedName>
    <definedName name="Phase3">cockpit!$J$26</definedName>
    <definedName name="Phase3begin">cockpit!$K$26</definedName>
    <definedName name="Phase3end">cockpit!$L$26</definedName>
    <definedName name="Phase3open">cockpit!$M$26</definedName>
    <definedName name="phase3stabilizationyear">cockpit!$N$26</definedName>
    <definedName name="Premiumcosts">cockpit!$K$44</definedName>
    <definedName name="Premiumexitcaprate">cockpit!$K$45</definedName>
    <definedName name="premiumprices">cockpit!$K$43</definedName>
    <definedName name="Principal" localSheetId="20">-PPMT('p2'!Interest_Rate/12,'p2'!Payment_Number,'p2'!Number_of_Payments,'p2'!Loan_Amount)</definedName>
    <definedName name="Principal" localSheetId="21">-PPMT('p3'!Interest_Rate/12,'p3'!Payment_Number,'p3'!Number_of_Payments,'p3'!Loan_Amount)</definedName>
    <definedName name="Principal">-PPMT(Interest_Rate/12,Payment_Number,Number_of_Payments,Loan_Amount)</definedName>
    <definedName name="_xlnm.Print_Area" localSheetId="3">'Summary Board'!$A$1:$O$104</definedName>
    <definedName name="_xlnm.Print_Titles" localSheetId="19">'p1'!$17:$17</definedName>
    <definedName name="_xlnm.Print_Titles" localSheetId="20">'p2'!$17:$17</definedName>
    <definedName name="_xlnm.Print_Titles" localSheetId="21">'p3'!$17:$17</definedName>
    <definedName name="publicspacesconstructioncostPSF">cockpit!$X$16</definedName>
    <definedName name="Repurposecost">cockpit!$K$35</definedName>
    <definedName name="Residentialaffordableaveragesize">cockpit!$C$26</definedName>
    <definedName name="ResidentialaffordablecostPSF">cockpit!$X$8</definedName>
    <definedName name="ResidentialAffordablePSFrate">cockpit!$E$26</definedName>
    <definedName name="ResidentialAffordablerampup">cockpit!$L$8</definedName>
    <definedName name="ResidentialAffordableSF">summary!$AC$14</definedName>
    <definedName name="ResidentialAffordablevacancy">cockpit!$M$8</definedName>
    <definedName name="ResidentialCondominiumrampup">cockpit!$L$9</definedName>
    <definedName name="ResidentialCondominiumSF">summary!$AC$13</definedName>
    <definedName name="ResidentialCondominiumvacancy">cockpit!$M$9</definedName>
    <definedName name="Residentialmarketrateaveragesize">cockpit!$C$25</definedName>
    <definedName name="ResidentialmarketrateconstructionPSF">cockpit!$X$7</definedName>
    <definedName name="ResidentialmarketratePSFrate">cockpit!$E$25</definedName>
    <definedName name="Residentialmarketraterampup">cockpit!$L$7</definedName>
    <definedName name="Residentialmarketratevacancy">cockpit!$M$7</definedName>
    <definedName name="RetailconstructioncostPSF">cockpit!$X$11</definedName>
    <definedName name="retailentrycap">cockpit!$T$11</definedName>
    <definedName name="Retailexitcap">cockpit!$U$11</definedName>
    <definedName name="retailopex">cockpit!$O$11</definedName>
    <definedName name="Retailrampup">cockpit!$L$11</definedName>
    <definedName name="RetailrentalratePSF">cockpit!$G$43</definedName>
    <definedName name="Retailvacancy">cockpit!$M$11</definedName>
    <definedName name="RowTitleRegion1..E6" localSheetId="20">'p2'!$B$3</definedName>
    <definedName name="RowTitleRegion1..E6" localSheetId="21">'p3'!$B$3</definedName>
    <definedName name="RowTitleRegion1..E6">'p1'!$B$3</definedName>
    <definedName name="RowTitleRegion2..E11" localSheetId="20">'p2'!$B$8</definedName>
    <definedName name="RowTitleRegion2..E11" localSheetId="21">'p3'!$B$8</definedName>
    <definedName name="RowTitleRegion2..E11">'p1'!$B$8</definedName>
    <definedName name="Total_Cost" localSheetId="20">'p2'!$E$11</definedName>
    <definedName name="Total_Cost" localSheetId="21">'p3'!$E$11</definedName>
    <definedName name="Total_Cost">'p1'!$E$11</definedName>
    <definedName name="Total_Interest" localSheetId="20">'p2'!$E$10</definedName>
    <definedName name="Total_Interest" localSheetId="21">'p3'!$E$10</definedName>
    <definedName name="Total_Interest">'p1'!$E$10</definedName>
    <definedName name="totalsf">summary!$AC$26</definedName>
    <definedName name="Values_Entered" localSheetId="20">IF('p2'!Loan_Amount*'p2'!Interest_Rate*'p2'!Loan_Years*'p2'!Loan_Start&gt;0,1,0)</definedName>
    <definedName name="Values_Entered" localSheetId="21">IF('p3'!Loan_Amount*'p3'!Interest_Rate*'p3'!Loan_Years*'p3'!Loan_Start&gt;0,1,0)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3" i="31" l="1"/>
  <c r="J54" i="31"/>
  <c r="AM12" i="2"/>
  <c r="AM13" i="2"/>
  <c r="D75" i="24"/>
  <c r="C75" i="24"/>
  <c r="D64" i="24"/>
  <c r="C64" i="24"/>
  <c r="C45" i="24"/>
  <c r="C44" i="24"/>
  <c r="D38" i="24"/>
  <c r="D37" i="24"/>
  <c r="D34" i="24"/>
  <c r="C34" i="24"/>
  <c r="C37" i="24"/>
  <c r="E37" i="17"/>
  <c r="H11" i="6" l="1"/>
  <c r="H10" i="6"/>
  <c r="H9" i="6"/>
  <c r="J4" i="6"/>
  <c r="K4" i="6" s="1"/>
  <c r="K6" i="6"/>
  <c r="L6" i="6"/>
  <c r="M6" i="6"/>
  <c r="K7" i="6"/>
  <c r="L7" i="6"/>
  <c r="M7" i="6"/>
  <c r="K8" i="6"/>
  <c r="L8" i="6"/>
  <c r="M8" i="6"/>
  <c r="L9" i="6"/>
  <c r="M9" i="6"/>
  <c r="K10" i="6"/>
  <c r="M10" i="6"/>
  <c r="K11" i="6"/>
  <c r="L11" i="6"/>
  <c r="L12" i="6"/>
  <c r="M12" i="6"/>
  <c r="K13" i="6"/>
  <c r="L13" i="6"/>
  <c r="M13" i="6"/>
  <c r="K14" i="6"/>
  <c r="L14" i="6"/>
  <c r="M14" i="6"/>
  <c r="K15" i="6"/>
  <c r="L15" i="6"/>
  <c r="M15" i="6"/>
  <c r="K16" i="6"/>
  <c r="L16" i="6"/>
  <c r="M16" i="6"/>
  <c r="K17" i="6"/>
  <c r="L17" i="6"/>
  <c r="M17" i="6"/>
  <c r="K18" i="6"/>
  <c r="L18" i="6"/>
  <c r="M18" i="6"/>
  <c r="L19" i="6"/>
  <c r="M19" i="6"/>
  <c r="K20" i="6"/>
  <c r="M20" i="6"/>
  <c r="K21" i="6"/>
  <c r="L21" i="6"/>
  <c r="K22" i="6"/>
  <c r="L22" i="6"/>
  <c r="M22" i="6"/>
  <c r="K23" i="6"/>
  <c r="L23" i="6"/>
  <c r="M23" i="6"/>
  <c r="K5" i="6"/>
  <c r="L5" i="6"/>
  <c r="M5" i="6"/>
  <c r="L4" i="6"/>
  <c r="M4" i="6"/>
  <c r="C98" i="31"/>
  <c r="C99" i="31"/>
  <c r="C101" i="31"/>
  <c r="J21" i="6"/>
  <c r="M21" i="6" s="1"/>
  <c r="J20" i="6"/>
  <c r="L20" i="6" s="1"/>
  <c r="J19" i="6"/>
  <c r="K19" i="6" s="1"/>
  <c r="H21" i="6"/>
  <c r="H20" i="6"/>
  <c r="H19" i="6"/>
  <c r="H9" i="17"/>
  <c r="H9" i="12"/>
  <c r="D52" i="31" l="1"/>
  <c r="E45" i="31"/>
  <c r="F45" i="31"/>
  <c r="G45" i="31"/>
  <c r="H45" i="31"/>
  <c r="I45" i="31"/>
  <c r="J45" i="31"/>
  <c r="K45" i="31"/>
  <c r="L45" i="31"/>
  <c r="M45" i="31"/>
  <c r="D45" i="31"/>
  <c r="H57" i="25"/>
  <c r="F3" i="31"/>
  <c r="G3" i="31" s="1"/>
  <c r="H3" i="31" s="1"/>
  <c r="I3" i="31" s="1"/>
  <c r="J3" i="31" s="1"/>
  <c r="K3" i="31" s="1"/>
  <c r="L3" i="31" s="1"/>
  <c r="M3" i="31" s="1"/>
  <c r="F58" i="31"/>
  <c r="G58" i="31" s="1"/>
  <c r="H58" i="31" s="1"/>
  <c r="I58" i="31" s="1"/>
  <c r="J58" i="31" s="1"/>
  <c r="K58" i="31" s="1"/>
  <c r="L58" i="31" s="1"/>
  <c r="E160" i="21" l="1"/>
  <c r="F160" i="21"/>
  <c r="G160" i="21"/>
  <c r="H160" i="21"/>
  <c r="J160" i="21"/>
  <c r="K160" i="21"/>
  <c r="L160" i="21"/>
  <c r="M160" i="21"/>
  <c r="N160" i="21"/>
  <c r="E169" i="21"/>
  <c r="F169" i="21"/>
  <c r="G169" i="21"/>
  <c r="H169" i="21"/>
  <c r="I169" i="21"/>
  <c r="J169" i="21"/>
  <c r="K169" i="21"/>
  <c r="L169" i="21"/>
  <c r="M169" i="21"/>
  <c r="D169" i="21"/>
  <c r="D160" i="21"/>
  <c r="R139" i="21"/>
  <c r="Q138" i="21"/>
  <c r="Q137" i="21"/>
  <c r="Q134" i="21"/>
  <c r="R125" i="21"/>
  <c r="Q124" i="21"/>
  <c r="Q121" i="21"/>
  <c r="E14" i="29"/>
  <c r="E5" i="29"/>
  <c r="E4" i="29"/>
  <c r="E113" i="21"/>
  <c r="F113" i="21"/>
  <c r="G113" i="21"/>
  <c r="H113" i="21"/>
  <c r="I113" i="21"/>
  <c r="J113" i="21"/>
  <c r="K113" i="21"/>
  <c r="L113" i="21"/>
  <c r="M113" i="21"/>
  <c r="D113" i="21"/>
  <c r="E104" i="21"/>
  <c r="F104" i="21"/>
  <c r="H104" i="21"/>
  <c r="I104" i="21"/>
  <c r="J104" i="21"/>
  <c r="K104" i="21"/>
  <c r="L104" i="21"/>
  <c r="M104" i="21"/>
  <c r="N104" i="21"/>
  <c r="D104" i="21"/>
  <c r="E5" i="28"/>
  <c r="E4" i="28"/>
  <c r="E5" i="27"/>
  <c r="E4" i="27"/>
  <c r="E14" i="28"/>
  <c r="R83" i="21"/>
  <c r="Q82" i="21"/>
  <c r="Q81" i="21"/>
  <c r="Q78" i="21"/>
  <c r="R69" i="21"/>
  <c r="Q68" i="21"/>
  <c r="Q65" i="21"/>
  <c r="R25" i="21"/>
  <c r="Q24" i="21"/>
  <c r="Q23" i="21"/>
  <c r="Q20" i="21"/>
  <c r="R11" i="21"/>
  <c r="Q10" i="21"/>
  <c r="Q7" i="21"/>
  <c r="D55" i="21"/>
  <c r="E55" i="21"/>
  <c r="F55" i="21"/>
  <c r="G55" i="21"/>
  <c r="H55" i="21"/>
  <c r="I55" i="21"/>
  <c r="J55" i="21"/>
  <c r="K55" i="21"/>
  <c r="L55" i="21"/>
  <c r="M55" i="21"/>
  <c r="D46" i="21"/>
  <c r="F46" i="21"/>
  <c r="G46" i="21"/>
  <c r="H46" i="21"/>
  <c r="I46" i="21"/>
  <c r="J46" i="21"/>
  <c r="K46" i="21"/>
  <c r="L46" i="21"/>
  <c r="M46" i="21"/>
  <c r="N46" i="21"/>
  <c r="E14" i="27"/>
  <c r="AA13" i="4" l="1"/>
  <c r="AA14" i="4"/>
  <c r="Z8" i="4"/>
  <c r="AA8" i="4" s="1"/>
  <c r="Z9" i="4"/>
  <c r="AA9" i="4" s="1"/>
  <c r="Z10" i="4"/>
  <c r="AA10" i="4" s="1"/>
  <c r="Z11" i="4"/>
  <c r="AA11" i="4" s="1"/>
  <c r="Z12" i="4"/>
  <c r="AA12" i="4" s="1"/>
  <c r="Z15" i="4"/>
  <c r="AA15" i="4" s="1"/>
  <c r="Z7" i="4"/>
  <c r="AA7" i="4" s="1"/>
  <c r="H5" i="25"/>
  <c r="H25" i="25"/>
  <c r="I25" i="25"/>
  <c r="J25" i="25"/>
  <c r="K25" i="25"/>
  <c r="L25" i="25"/>
  <c r="M25" i="25"/>
  <c r="N25" i="25"/>
  <c r="N77" i="25"/>
  <c r="M77" i="25"/>
  <c r="L77" i="25"/>
  <c r="K77" i="25"/>
  <c r="J77" i="25"/>
  <c r="I77" i="25"/>
  <c r="H77" i="25"/>
  <c r="G77" i="25"/>
  <c r="F77" i="25"/>
  <c r="E77" i="25"/>
  <c r="D77" i="25"/>
  <c r="D76" i="25"/>
  <c r="D73" i="25"/>
  <c r="D72" i="25"/>
  <c r="D69" i="25"/>
  <c r="D68" i="25"/>
  <c r="K68" i="25" s="1"/>
  <c r="D65" i="25"/>
  <c r="D63" i="25"/>
  <c r="G25" i="25"/>
  <c r="F25" i="25"/>
  <c r="E25" i="25"/>
  <c r="D25" i="25"/>
  <c r="D24" i="25"/>
  <c r="D21" i="25"/>
  <c r="D20" i="25"/>
  <c r="D17" i="25"/>
  <c r="D16" i="25"/>
  <c r="N16" i="25" s="1"/>
  <c r="D13" i="25"/>
  <c r="D11" i="25"/>
  <c r="D50" i="25"/>
  <c r="D39" i="25"/>
  <c r="N51" i="25"/>
  <c r="M51" i="25"/>
  <c r="L51" i="25"/>
  <c r="K51" i="25"/>
  <c r="J51" i="25"/>
  <c r="I51" i="25"/>
  <c r="H51" i="25"/>
  <c r="G51" i="25"/>
  <c r="F51" i="25"/>
  <c r="E51" i="25"/>
  <c r="D47" i="25"/>
  <c r="D46" i="25"/>
  <c r="D43" i="25"/>
  <c r="D42" i="25"/>
  <c r="D37" i="25"/>
  <c r="D51" i="25"/>
  <c r="H31" i="25"/>
  <c r="L15" i="4"/>
  <c r="D12" i="25" s="1"/>
  <c r="J21" i="2"/>
  <c r="L21" i="2"/>
  <c r="P21" i="2"/>
  <c r="I16" i="2"/>
  <c r="I15" i="2"/>
  <c r="J16" i="2"/>
  <c r="J15" i="2"/>
  <c r="J11" i="2"/>
  <c r="N21" i="2"/>
  <c r="V15" i="2"/>
  <c r="V11" i="2"/>
  <c r="I11" i="2"/>
  <c r="W11" i="2"/>
  <c r="W15" i="2"/>
  <c r="S9" i="8"/>
  <c r="U9" i="8" s="1"/>
  <c r="G25" i="17" s="1"/>
  <c r="AI19" i="2"/>
  <c r="AI18" i="2"/>
  <c r="AI17" i="2"/>
  <c r="AK24" i="2"/>
  <c r="AI22" i="2"/>
  <c r="AI23" i="2"/>
  <c r="AI24" i="2"/>
  <c r="AG23" i="2"/>
  <c r="AG24" i="2"/>
  <c r="AE23" i="2"/>
  <c r="AE24" i="2"/>
  <c r="G10" i="8"/>
  <c r="R10" i="8" s="1"/>
  <c r="H4" i="6"/>
  <c r="J11" i="6"/>
  <c r="M11" i="6" s="1"/>
  <c r="J10" i="6"/>
  <c r="L10" i="6" s="1"/>
  <c r="J9" i="6"/>
  <c r="H8" i="6"/>
  <c r="J15" i="6"/>
  <c r="J14" i="6"/>
  <c r="J13" i="6"/>
  <c r="H15" i="6"/>
  <c r="H14" i="6"/>
  <c r="H13" i="6"/>
  <c r="J17" i="6"/>
  <c r="J16" i="6"/>
  <c r="H17" i="6"/>
  <c r="H16" i="6"/>
  <c r="J12" i="6"/>
  <c r="H12" i="6"/>
  <c r="H48" i="22"/>
  <c r="D59" i="22"/>
  <c r="D55" i="22"/>
  <c r="D54" i="22"/>
  <c r="K48" i="22"/>
  <c r="D62" i="22" s="1"/>
  <c r="H28" i="22"/>
  <c r="D39" i="22"/>
  <c r="D35" i="22"/>
  <c r="D34" i="22"/>
  <c r="K28" i="22"/>
  <c r="D42" i="22" s="1"/>
  <c r="D12" i="22"/>
  <c r="D11" i="22"/>
  <c r="F80" i="4"/>
  <c r="F76" i="4"/>
  <c r="AB22" i="2"/>
  <c r="AA22" i="2"/>
  <c r="Z22" i="2"/>
  <c r="Y22" i="2"/>
  <c r="X22" i="2"/>
  <c r="W22" i="2"/>
  <c r="V22" i="2"/>
  <c r="U22" i="2"/>
  <c r="T22" i="2"/>
  <c r="S22" i="2"/>
  <c r="AE22" i="2" s="1"/>
  <c r="Q22" i="2"/>
  <c r="P22" i="2"/>
  <c r="AG22" i="2" s="1"/>
  <c r="O22" i="2"/>
  <c r="M22" i="2"/>
  <c r="L22" i="2"/>
  <c r="K22" i="2"/>
  <c r="J22" i="2"/>
  <c r="I22" i="2"/>
  <c r="H22" i="2"/>
  <c r="G22" i="2"/>
  <c r="F22" i="2"/>
  <c r="E22" i="2"/>
  <c r="D16" i="22"/>
  <c r="H5" i="22"/>
  <c r="D5" i="22"/>
  <c r="I9" i="17"/>
  <c r="J9" i="8"/>
  <c r="H59" i="20"/>
  <c r="H32" i="20"/>
  <c r="N80" i="20"/>
  <c r="M80" i="20"/>
  <c r="L80" i="20"/>
  <c r="K80" i="20"/>
  <c r="J80" i="20"/>
  <c r="I80" i="20"/>
  <c r="H80" i="20"/>
  <c r="G80" i="20"/>
  <c r="F80" i="20"/>
  <c r="E80" i="20"/>
  <c r="D76" i="20"/>
  <c r="D75" i="20"/>
  <c r="D72" i="20"/>
  <c r="D64" i="20"/>
  <c r="K59" i="20"/>
  <c r="D80" i="20" s="1"/>
  <c r="N53" i="20"/>
  <c r="M53" i="20"/>
  <c r="L53" i="20"/>
  <c r="K53" i="20"/>
  <c r="J53" i="20"/>
  <c r="I53" i="20"/>
  <c r="H53" i="20"/>
  <c r="G53" i="20"/>
  <c r="F53" i="20"/>
  <c r="E53" i="20"/>
  <c r="D49" i="20"/>
  <c r="D48" i="20"/>
  <c r="D45" i="20"/>
  <c r="D37" i="20"/>
  <c r="D18" i="20"/>
  <c r="N26" i="20"/>
  <c r="M26" i="20"/>
  <c r="L26" i="20"/>
  <c r="K26" i="20"/>
  <c r="J26" i="20"/>
  <c r="I26" i="20"/>
  <c r="H26" i="20"/>
  <c r="G26" i="20"/>
  <c r="F26" i="20"/>
  <c r="E26" i="20"/>
  <c r="D22" i="20"/>
  <c r="D21" i="20"/>
  <c r="D10" i="20"/>
  <c r="H5" i="20"/>
  <c r="D5" i="20"/>
  <c r="M8" i="8"/>
  <c r="J8" i="8"/>
  <c r="G8" i="8"/>
  <c r="S8" i="8" s="1"/>
  <c r="G25" i="12" s="1"/>
  <c r="R7" i="8"/>
  <c r="M7" i="8"/>
  <c r="J7" i="8"/>
  <c r="I7" i="8"/>
  <c r="F7" i="8"/>
  <c r="E7" i="8" s="1"/>
  <c r="R6" i="8"/>
  <c r="M6" i="8"/>
  <c r="J6" i="8"/>
  <c r="F6" i="8"/>
  <c r="C97" i="31" l="1"/>
  <c r="K12" i="6"/>
  <c r="F82" i="4"/>
  <c r="F83" i="4" s="1"/>
  <c r="C100" i="31"/>
  <c r="K9" i="6"/>
  <c r="K24" i="6" s="1"/>
  <c r="J24" i="6"/>
  <c r="AA17" i="4"/>
  <c r="D13" i="22"/>
  <c r="D56" i="22" s="1"/>
  <c r="D36" i="22"/>
  <c r="D38" i="25"/>
  <c r="D64" i="25"/>
  <c r="F68" i="25"/>
  <c r="L16" i="25"/>
  <c r="M16" i="25"/>
  <c r="N68" i="25"/>
  <c r="K16" i="25"/>
  <c r="J16" i="25"/>
  <c r="I16" i="25"/>
  <c r="H16" i="25"/>
  <c r="O16" i="25"/>
  <c r="L68" i="25"/>
  <c r="E68" i="25"/>
  <c r="M68" i="25"/>
  <c r="G68" i="25"/>
  <c r="O68" i="25"/>
  <c r="H68" i="25"/>
  <c r="I68" i="25"/>
  <c r="J68" i="25"/>
  <c r="E16" i="25"/>
  <c r="F16" i="25"/>
  <c r="G16" i="25"/>
  <c r="U10" i="8"/>
  <c r="F22" i="9" s="1"/>
  <c r="AK22" i="2"/>
  <c r="AJ22" i="2"/>
  <c r="L24" i="6"/>
  <c r="M24" i="6"/>
  <c r="J9" i="17"/>
  <c r="I9" i="12"/>
  <c r="D71" i="20"/>
  <c r="D79" i="20"/>
  <c r="L7" i="8"/>
  <c r="N7" i="8" s="1"/>
  <c r="U7" i="8" s="1"/>
  <c r="C103" i="31" l="1"/>
  <c r="J9" i="12"/>
  <c r="AB13" i="4"/>
  <c r="AC13" i="4" s="1"/>
  <c r="AB14" i="4"/>
  <c r="AC14" i="4" s="1"/>
  <c r="AB11" i="4"/>
  <c r="AC11" i="4" s="1"/>
  <c r="AB15" i="4"/>
  <c r="AC15" i="4" s="1"/>
  <c r="AB8" i="4"/>
  <c r="AC8" i="4" s="1"/>
  <c r="AB10" i="4"/>
  <c r="AC10" i="4" s="1"/>
  <c r="AB7" i="4"/>
  <c r="AC7" i="4" s="1"/>
  <c r="AB9" i="4"/>
  <c r="AC9" i="4" s="1"/>
  <c r="AB12" i="4"/>
  <c r="AC12" i="4" s="1"/>
  <c r="K9" i="17"/>
  <c r="K9" i="12"/>
  <c r="C79" i="4"/>
  <c r="AC17" i="4" l="1"/>
  <c r="L9" i="17"/>
  <c r="L9" i="12"/>
  <c r="Q132" i="21" l="1"/>
  <c r="Q76" i="21"/>
  <c r="Q18" i="21"/>
  <c r="M9" i="17"/>
  <c r="M9" i="12"/>
  <c r="N9" i="17" l="1"/>
  <c r="N9" i="12"/>
  <c r="O9" i="17" l="1"/>
  <c r="O9" i="12"/>
  <c r="N80" i="18" l="1"/>
  <c r="M80" i="18"/>
  <c r="L80" i="18"/>
  <c r="K80" i="18"/>
  <c r="J80" i="18"/>
  <c r="I80" i="18"/>
  <c r="H80" i="18"/>
  <c r="G80" i="18"/>
  <c r="F80" i="18"/>
  <c r="E80" i="18"/>
  <c r="D76" i="18"/>
  <c r="D75" i="18"/>
  <c r="D72" i="18"/>
  <c r="D71" i="18"/>
  <c r="D70" i="18"/>
  <c r="D64" i="18"/>
  <c r="N53" i="18"/>
  <c r="M53" i="18"/>
  <c r="L53" i="18"/>
  <c r="K53" i="18"/>
  <c r="J53" i="18"/>
  <c r="I53" i="18"/>
  <c r="H53" i="18"/>
  <c r="G53" i="18"/>
  <c r="F53" i="18"/>
  <c r="E53" i="18"/>
  <c r="D49" i="18"/>
  <c r="D48" i="18"/>
  <c r="D45" i="18"/>
  <c r="D44" i="18"/>
  <c r="D43" i="18"/>
  <c r="D37" i="18"/>
  <c r="D18" i="18"/>
  <c r="D17" i="18"/>
  <c r="H32" i="18"/>
  <c r="H59" i="18"/>
  <c r="K59" i="18"/>
  <c r="D69" i="18" s="1"/>
  <c r="N26" i="18"/>
  <c r="M26" i="18"/>
  <c r="L26" i="18"/>
  <c r="K26" i="18"/>
  <c r="J26" i="18"/>
  <c r="I26" i="18"/>
  <c r="H26" i="18"/>
  <c r="G26" i="18"/>
  <c r="F26" i="18"/>
  <c r="E26" i="18"/>
  <c r="D22" i="18"/>
  <c r="D21" i="18"/>
  <c r="D16" i="18"/>
  <c r="D10" i="18"/>
  <c r="H5" i="18"/>
  <c r="D5" i="18"/>
  <c r="C48" i="4"/>
  <c r="AI16" i="2"/>
  <c r="AE20" i="2"/>
  <c r="AE21" i="2"/>
  <c r="N77" i="17"/>
  <c r="M77" i="17"/>
  <c r="L77" i="17"/>
  <c r="K77" i="17"/>
  <c r="J77" i="17"/>
  <c r="I77" i="17"/>
  <c r="H77" i="17"/>
  <c r="G77" i="17"/>
  <c r="F77" i="17"/>
  <c r="E77" i="17"/>
  <c r="D73" i="17"/>
  <c r="D72" i="17"/>
  <c r="D69" i="17"/>
  <c r="D68" i="17" s="1"/>
  <c r="D63" i="17"/>
  <c r="H58" i="17"/>
  <c r="N52" i="17"/>
  <c r="M52" i="17"/>
  <c r="L52" i="17"/>
  <c r="K52" i="17"/>
  <c r="J52" i="17"/>
  <c r="I52" i="17"/>
  <c r="H52" i="17"/>
  <c r="G52" i="17"/>
  <c r="F52" i="17"/>
  <c r="E52" i="17"/>
  <c r="D48" i="17"/>
  <c r="D47" i="17"/>
  <c r="D44" i="17"/>
  <c r="D43" i="17" s="1"/>
  <c r="D38" i="17"/>
  <c r="H33" i="17"/>
  <c r="N27" i="17"/>
  <c r="M27" i="17"/>
  <c r="L27" i="17"/>
  <c r="K27" i="17"/>
  <c r="J27" i="17"/>
  <c r="I27" i="17"/>
  <c r="H27" i="17"/>
  <c r="G27" i="17"/>
  <c r="F27" i="17"/>
  <c r="E27" i="17"/>
  <c r="D21" i="17"/>
  <c r="D20" i="17"/>
  <c r="D17" i="17"/>
  <c r="D16" i="17" s="1"/>
  <c r="D11" i="17"/>
  <c r="H5" i="17"/>
  <c r="D5" i="17"/>
  <c r="W16" i="2"/>
  <c r="W17" i="2" s="1"/>
  <c r="V16" i="2"/>
  <c r="V17" i="2" s="1"/>
  <c r="U16" i="2"/>
  <c r="U17" i="2" s="1"/>
  <c r="U15" i="2"/>
  <c r="W14" i="2"/>
  <c r="V14" i="2"/>
  <c r="U14" i="2"/>
  <c r="W13" i="2"/>
  <c r="V13" i="2"/>
  <c r="U11" i="2"/>
  <c r="U13" i="2" s="1"/>
  <c r="D67" i="14"/>
  <c r="D66" i="14"/>
  <c r="D63" i="14"/>
  <c r="D58" i="14"/>
  <c r="D43" i="14"/>
  <c r="D42" i="14"/>
  <c r="D39" i="14"/>
  <c r="D34" i="14"/>
  <c r="H58" i="12"/>
  <c r="N78" i="12"/>
  <c r="M78" i="12"/>
  <c r="L78" i="12"/>
  <c r="K78" i="12"/>
  <c r="J78" i="12"/>
  <c r="I78" i="12"/>
  <c r="H78" i="12"/>
  <c r="G78" i="12"/>
  <c r="F78" i="12"/>
  <c r="E78" i="12"/>
  <c r="D74" i="12"/>
  <c r="D73" i="12"/>
  <c r="D70" i="12"/>
  <c r="D69" i="12" s="1"/>
  <c r="D63" i="12"/>
  <c r="D79" i="18" l="1"/>
  <c r="V12" i="2"/>
  <c r="D80" i="18"/>
  <c r="U12" i="2"/>
  <c r="W12" i="2"/>
  <c r="K29" i="14"/>
  <c r="N71" i="14"/>
  <c r="M71" i="14"/>
  <c r="L71" i="14"/>
  <c r="K71" i="14"/>
  <c r="J71" i="14"/>
  <c r="I71" i="14"/>
  <c r="H71" i="14"/>
  <c r="G71" i="14"/>
  <c r="F71" i="14"/>
  <c r="E71" i="14"/>
  <c r="H53" i="14"/>
  <c r="D53" i="14"/>
  <c r="N47" i="14"/>
  <c r="M47" i="14"/>
  <c r="L47" i="14"/>
  <c r="K47" i="14"/>
  <c r="J47" i="14"/>
  <c r="I47" i="14"/>
  <c r="H47" i="14"/>
  <c r="G47" i="14"/>
  <c r="F47" i="14"/>
  <c r="E47" i="14"/>
  <c r="H29" i="14"/>
  <c r="D29" i="14"/>
  <c r="N23" i="14"/>
  <c r="M23" i="14"/>
  <c r="L23" i="14"/>
  <c r="K23" i="14"/>
  <c r="J23" i="14"/>
  <c r="I23" i="14"/>
  <c r="H23" i="14"/>
  <c r="G23" i="14"/>
  <c r="F23" i="14"/>
  <c r="E23" i="14"/>
  <c r="D19" i="14"/>
  <c r="D18" i="14"/>
  <c r="D15" i="14"/>
  <c r="D10" i="14"/>
  <c r="H5" i="14"/>
  <c r="D5" i="14"/>
  <c r="H33" i="12"/>
  <c r="N52" i="12"/>
  <c r="M52" i="12"/>
  <c r="L52" i="12"/>
  <c r="K52" i="12"/>
  <c r="J52" i="12"/>
  <c r="I52" i="12"/>
  <c r="H52" i="12"/>
  <c r="G52" i="12"/>
  <c r="F52" i="12"/>
  <c r="E52" i="12"/>
  <c r="D48" i="12"/>
  <c r="D47" i="12"/>
  <c r="D44" i="12"/>
  <c r="D38" i="12"/>
  <c r="H5" i="12"/>
  <c r="D5" i="12"/>
  <c r="N27" i="12"/>
  <c r="M27" i="12"/>
  <c r="L27" i="12"/>
  <c r="K27" i="12"/>
  <c r="J27" i="12"/>
  <c r="I27" i="12"/>
  <c r="H27" i="12"/>
  <c r="G27" i="12"/>
  <c r="F27" i="12"/>
  <c r="E27" i="12"/>
  <c r="D21" i="12"/>
  <c r="D20" i="12"/>
  <c r="D17" i="12"/>
  <c r="D11" i="12"/>
  <c r="E11" i="2"/>
  <c r="F11" i="2"/>
  <c r="E22" i="4"/>
  <c r="C28" i="4"/>
  <c r="C26" i="4"/>
  <c r="H55" i="9"/>
  <c r="D55" i="9"/>
  <c r="N73" i="9"/>
  <c r="M73" i="9"/>
  <c r="L73" i="9"/>
  <c r="K73" i="9"/>
  <c r="J73" i="9"/>
  <c r="I73" i="9"/>
  <c r="H73" i="9"/>
  <c r="G73" i="9"/>
  <c r="F73" i="9"/>
  <c r="E73" i="9"/>
  <c r="D69" i="9"/>
  <c r="D68" i="9"/>
  <c r="D65" i="9"/>
  <c r="D60" i="9"/>
  <c r="E49" i="9"/>
  <c r="F49" i="9"/>
  <c r="G49" i="9"/>
  <c r="H49" i="9"/>
  <c r="I49" i="9"/>
  <c r="J49" i="9"/>
  <c r="K49" i="9"/>
  <c r="L49" i="9"/>
  <c r="M49" i="9"/>
  <c r="N49" i="9"/>
  <c r="E25" i="9"/>
  <c r="F25" i="9"/>
  <c r="G25" i="9"/>
  <c r="H25" i="9"/>
  <c r="I25" i="9"/>
  <c r="J25" i="9"/>
  <c r="K25" i="9"/>
  <c r="L25" i="9"/>
  <c r="M25" i="9"/>
  <c r="N25" i="9"/>
  <c r="H31" i="9"/>
  <c r="D31" i="9"/>
  <c r="D45" i="9"/>
  <c r="D44" i="9"/>
  <c r="D41" i="9"/>
  <c r="D36" i="9"/>
  <c r="D10" i="9"/>
  <c r="D15" i="9"/>
  <c r="D18" i="9"/>
  <c r="D19" i="9"/>
  <c r="D5" i="9"/>
  <c r="H5" i="9"/>
  <c r="AK18" i="2"/>
  <c r="AG18" i="2"/>
  <c r="AI14" i="2"/>
  <c r="AI13" i="2"/>
  <c r="AI12" i="2"/>
  <c r="AI21" i="2"/>
  <c r="AG21" i="2"/>
  <c r="AI20" i="2"/>
  <c r="AJ20" i="2" s="1"/>
  <c r="AI15" i="2"/>
  <c r="AI11" i="2"/>
  <c r="AK23" i="2"/>
  <c r="AK21" i="2"/>
  <c r="E14" i="2"/>
  <c r="G11" i="2"/>
  <c r="G14" i="2" s="1"/>
  <c r="H11" i="2"/>
  <c r="H14" i="2" s="1"/>
  <c r="L11" i="2"/>
  <c r="L13" i="2" s="1"/>
  <c r="P11" i="2"/>
  <c r="P14" i="2" s="1"/>
  <c r="Q11" i="2"/>
  <c r="Q13" i="2" s="1"/>
  <c r="S11" i="2"/>
  <c r="S13" i="2" s="1"/>
  <c r="T11" i="2"/>
  <c r="T14" i="2" s="1"/>
  <c r="F13" i="2"/>
  <c r="I13" i="2"/>
  <c r="J13" i="2"/>
  <c r="K13" i="2"/>
  <c r="M13" i="2"/>
  <c r="N13" i="2"/>
  <c r="O13" i="2"/>
  <c r="R13" i="2"/>
  <c r="X13" i="2"/>
  <c r="Y13" i="2"/>
  <c r="Z13" i="2"/>
  <c r="AA13" i="2"/>
  <c r="AB13" i="2"/>
  <c r="F14" i="2"/>
  <c r="I14" i="2"/>
  <c r="J14" i="2"/>
  <c r="K14" i="2"/>
  <c r="M14" i="2"/>
  <c r="N14" i="2"/>
  <c r="O14" i="2"/>
  <c r="R14" i="2"/>
  <c r="X14" i="2"/>
  <c r="Y14" i="2"/>
  <c r="Z14" i="2"/>
  <c r="AA14" i="2"/>
  <c r="AB14" i="2"/>
  <c r="L26" i="4"/>
  <c r="H58" i="25" s="1"/>
  <c r="L25" i="4"/>
  <c r="L24" i="4"/>
  <c r="K162" i="21" l="1"/>
  <c r="I163" i="21"/>
  <c r="L162" i="21"/>
  <c r="J163" i="21"/>
  <c r="M162" i="21"/>
  <c r="L163" i="21"/>
  <c r="D163" i="21"/>
  <c r="N162" i="21"/>
  <c r="M163" i="21"/>
  <c r="D162" i="21"/>
  <c r="E162" i="21"/>
  <c r="E163" i="21"/>
  <c r="N163" i="21"/>
  <c r="F162" i="21"/>
  <c r="F163" i="21"/>
  <c r="H163" i="21"/>
  <c r="G162" i="21"/>
  <c r="G163" i="21"/>
  <c r="H162" i="21"/>
  <c r="K106" i="21"/>
  <c r="L106" i="21"/>
  <c r="J107" i="21"/>
  <c r="E106" i="21"/>
  <c r="M106" i="21"/>
  <c r="K107" i="21"/>
  <c r="M107" i="21"/>
  <c r="F106" i="21"/>
  <c r="N106" i="21"/>
  <c r="L107" i="21"/>
  <c r="E107" i="21"/>
  <c r="D107" i="21"/>
  <c r="G107" i="21"/>
  <c r="N107" i="21"/>
  <c r="D106" i="21"/>
  <c r="I106" i="21"/>
  <c r="F107" i="21"/>
  <c r="J106" i="21"/>
  <c r="H107" i="21"/>
  <c r="N48" i="21"/>
  <c r="L49" i="21"/>
  <c r="H48" i="21"/>
  <c r="E49" i="21"/>
  <c r="N49" i="21"/>
  <c r="I48" i="21"/>
  <c r="F49" i="21"/>
  <c r="D49" i="21"/>
  <c r="L48" i="21"/>
  <c r="M48" i="21"/>
  <c r="D48" i="21"/>
  <c r="H49" i="21"/>
  <c r="I49" i="21"/>
  <c r="J48" i="21"/>
  <c r="K48" i="21"/>
  <c r="G48" i="21"/>
  <c r="J49" i="21"/>
  <c r="K49" i="21"/>
  <c r="M49" i="21"/>
  <c r="H6" i="25"/>
  <c r="G24" i="25" s="1"/>
  <c r="G26" i="25" s="1"/>
  <c r="F33" i="21" s="1"/>
  <c r="H32" i="25"/>
  <c r="L50" i="25" s="1"/>
  <c r="L52" i="25" s="1"/>
  <c r="K91" i="21" s="1"/>
  <c r="AG11" i="2"/>
  <c r="AI25" i="2"/>
  <c r="N151" i="21"/>
  <c r="E151" i="21"/>
  <c r="D151" i="21"/>
  <c r="I151" i="21"/>
  <c r="F151" i="21"/>
  <c r="K151" i="21"/>
  <c r="G151" i="21"/>
  <c r="H49" i="22"/>
  <c r="H151" i="21"/>
  <c r="J151" i="21"/>
  <c r="L151" i="21"/>
  <c r="M151" i="21"/>
  <c r="H6" i="22"/>
  <c r="J37" i="21"/>
  <c r="G37" i="21"/>
  <c r="K37" i="21"/>
  <c r="L37" i="21"/>
  <c r="E37" i="21"/>
  <c r="M37" i="21"/>
  <c r="F37" i="21"/>
  <c r="N37" i="21"/>
  <c r="D37" i="21"/>
  <c r="H37" i="21"/>
  <c r="I37" i="21"/>
  <c r="H95" i="21"/>
  <c r="M95" i="21"/>
  <c r="N95" i="21"/>
  <c r="E95" i="21"/>
  <c r="D95" i="21"/>
  <c r="H29" i="22"/>
  <c r="F95" i="21"/>
  <c r="J95" i="21"/>
  <c r="I95" i="21"/>
  <c r="K95" i="21"/>
  <c r="G95" i="21"/>
  <c r="L95" i="21"/>
  <c r="AE11" i="2"/>
  <c r="C11" i="2"/>
  <c r="H33" i="20"/>
  <c r="H60" i="20"/>
  <c r="H79" i="20" s="1"/>
  <c r="H81" i="20" s="1"/>
  <c r="G142" i="21" s="1"/>
  <c r="M12" i="2"/>
  <c r="B11" i="2"/>
  <c r="AK11" i="2"/>
  <c r="D11" i="2"/>
  <c r="H33" i="18"/>
  <c r="H6" i="18"/>
  <c r="H6" i="20"/>
  <c r="H60" i="18"/>
  <c r="F79" i="18" s="1"/>
  <c r="F81" i="18" s="1"/>
  <c r="E146" i="21" s="1"/>
  <c r="H34" i="17"/>
  <c r="D16" i="12"/>
  <c r="D43" i="12"/>
  <c r="M26" i="4"/>
  <c r="H59" i="25" s="1"/>
  <c r="H59" i="12"/>
  <c r="H59" i="17"/>
  <c r="H6" i="12"/>
  <c r="H6" i="17"/>
  <c r="D47" i="14"/>
  <c r="D46" i="14"/>
  <c r="M25" i="4"/>
  <c r="H30" i="14"/>
  <c r="H34" i="12"/>
  <c r="H6" i="9"/>
  <c r="H6" i="14"/>
  <c r="H54" i="14"/>
  <c r="H32" i="9"/>
  <c r="H56" i="9"/>
  <c r="Q14" i="2"/>
  <c r="AG14" i="2" s="1"/>
  <c r="J12" i="2"/>
  <c r="I12" i="2"/>
  <c r="Q12" i="2"/>
  <c r="AA12" i="2"/>
  <c r="Z12" i="2"/>
  <c r="M24" i="4"/>
  <c r="S14" i="2"/>
  <c r="L14" i="2"/>
  <c r="L12" i="2" s="1"/>
  <c r="H13" i="2"/>
  <c r="H12" i="2" s="1"/>
  <c r="P13" i="2"/>
  <c r="AC11" i="2"/>
  <c r="G13" i="2"/>
  <c r="G12" i="2" s="1"/>
  <c r="T13" i="2"/>
  <c r="T12" i="2" s="1"/>
  <c r="E13" i="2"/>
  <c r="E12" i="2" s="1"/>
  <c r="AB12" i="2"/>
  <c r="R12" i="2"/>
  <c r="K12" i="2"/>
  <c r="O12" i="2"/>
  <c r="Y12" i="2"/>
  <c r="N12" i="2"/>
  <c r="X12" i="2"/>
  <c r="F12" i="2"/>
  <c r="D22" i="4"/>
  <c r="C22" i="4"/>
  <c r="D24" i="2"/>
  <c r="AJ24" i="2" s="1"/>
  <c r="C24" i="2"/>
  <c r="AH24" i="2" s="1"/>
  <c r="D23" i="2"/>
  <c r="AJ23" i="2" s="1"/>
  <c r="B23" i="2"/>
  <c r="AF23" i="2" s="1"/>
  <c r="D21" i="2"/>
  <c r="AJ21" i="2" s="1"/>
  <c r="C21" i="2"/>
  <c r="B21" i="2"/>
  <c r="AF21" i="2" s="1"/>
  <c r="D20" i="2"/>
  <c r="O64" i="4" s="1"/>
  <c r="D19" i="2"/>
  <c r="AJ19" i="2" s="1"/>
  <c r="B19" i="2"/>
  <c r="AF19" i="2" s="1"/>
  <c r="D18" i="2"/>
  <c r="AJ18" i="2" s="1"/>
  <c r="C18" i="2"/>
  <c r="D39" i="31" l="1"/>
  <c r="F39" i="31"/>
  <c r="M39" i="31"/>
  <c r="E39" i="31"/>
  <c r="L39" i="31"/>
  <c r="I39" i="31"/>
  <c r="K39" i="31"/>
  <c r="H39" i="31"/>
  <c r="G39" i="31"/>
  <c r="J39" i="31"/>
  <c r="N39" i="31"/>
  <c r="N26" i="4"/>
  <c r="H166" i="21"/>
  <c r="G167" i="21"/>
  <c r="F168" i="21"/>
  <c r="D167" i="21"/>
  <c r="I166" i="21"/>
  <c r="H167" i="21"/>
  <c r="G168" i="21"/>
  <c r="D166" i="21"/>
  <c r="E13" i="29"/>
  <c r="E15" i="29" s="1"/>
  <c r="J166" i="21"/>
  <c r="I167" i="21"/>
  <c r="H168" i="21"/>
  <c r="L166" i="21"/>
  <c r="J167" i="21"/>
  <c r="I168" i="21"/>
  <c r="M166" i="21"/>
  <c r="L167" i="21"/>
  <c r="J168" i="21"/>
  <c r="E166" i="21"/>
  <c r="N166" i="21"/>
  <c r="M167" i="21"/>
  <c r="F167" i="21"/>
  <c r="F166" i="21"/>
  <c r="E167" i="21"/>
  <c r="N167" i="21"/>
  <c r="G166" i="21"/>
  <c r="E168" i="21"/>
  <c r="D168" i="21"/>
  <c r="L24" i="25"/>
  <c r="L26" i="25" s="1"/>
  <c r="K33" i="21" s="1"/>
  <c r="F24" i="25"/>
  <c r="F26" i="25" s="1"/>
  <c r="E33" i="21" s="1"/>
  <c r="G50" i="25"/>
  <c r="G52" i="25" s="1"/>
  <c r="F91" i="21" s="1"/>
  <c r="G111" i="21"/>
  <c r="E112" i="21"/>
  <c r="J110" i="21"/>
  <c r="H111" i="21"/>
  <c r="F112" i="21"/>
  <c r="E110" i="21"/>
  <c r="K110" i="21"/>
  <c r="G112" i="21"/>
  <c r="L110" i="21"/>
  <c r="J111" i="21"/>
  <c r="H112" i="21"/>
  <c r="K111" i="21"/>
  <c r="M110" i="21"/>
  <c r="N110" i="21"/>
  <c r="D111" i="21"/>
  <c r="F110" i="21"/>
  <c r="E111" i="21"/>
  <c r="D110" i="21"/>
  <c r="G110" i="21"/>
  <c r="F111" i="21"/>
  <c r="N111" i="21"/>
  <c r="H110" i="21"/>
  <c r="L111" i="21"/>
  <c r="D112" i="21"/>
  <c r="E13" i="28"/>
  <c r="M111" i="21"/>
  <c r="M24" i="25"/>
  <c r="M26" i="25" s="1"/>
  <c r="L33" i="21" s="1"/>
  <c r="O24" i="25"/>
  <c r="N24" i="25"/>
  <c r="N26" i="25" s="1"/>
  <c r="M33" i="21" s="1"/>
  <c r="E15" i="28"/>
  <c r="I52" i="21"/>
  <c r="K52" i="21"/>
  <c r="L52" i="21"/>
  <c r="F53" i="21"/>
  <c r="D52" i="21"/>
  <c r="H53" i="21"/>
  <c r="E54" i="21"/>
  <c r="E52" i="21"/>
  <c r="I53" i="21"/>
  <c r="H52" i="21"/>
  <c r="F52" i="21"/>
  <c r="J53" i="21"/>
  <c r="E13" i="27"/>
  <c r="E15" i="27" s="1"/>
  <c r="K53" i="21"/>
  <c r="J52" i="21"/>
  <c r="F54" i="21"/>
  <c r="L53" i="21"/>
  <c r="N52" i="21"/>
  <c r="N53" i="21"/>
  <c r="M52" i="21"/>
  <c r="D54" i="21"/>
  <c r="M53" i="21"/>
  <c r="E53" i="21"/>
  <c r="D53" i="21"/>
  <c r="E50" i="25"/>
  <c r="E52" i="25" s="1"/>
  <c r="D91" i="21" s="1"/>
  <c r="E24" i="25"/>
  <c r="E26" i="25" s="1"/>
  <c r="D33" i="21" s="1"/>
  <c r="M50" i="25"/>
  <c r="M52" i="25" s="1"/>
  <c r="L91" i="21" s="1"/>
  <c r="J50" i="25"/>
  <c r="J52" i="25" s="1"/>
  <c r="I91" i="21" s="1"/>
  <c r="I24" i="25"/>
  <c r="I26" i="25" s="1"/>
  <c r="H33" i="21" s="1"/>
  <c r="F50" i="25"/>
  <c r="F52" i="25" s="1"/>
  <c r="E91" i="21" s="1"/>
  <c r="H24" i="25"/>
  <c r="H26" i="25" s="1"/>
  <c r="G33" i="21" s="1"/>
  <c r="J24" i="25"/>
  <c r="J26" i="25" s="1"/>
  <c r="I33" i="21" s="1"/>
  <c r="H50" i="25"/>
  <c r="H52" i="25" s="1"/>
  <c r="G91" i="21" s="1"/>
  <c r="K24" i="25"/>
  <c r="K26" i="25" s="1"/>
  <c r="J33" i="21" s="1"/>
  <c r="N50" i="25"/>
  <c r="N52" i="25" s="1"/>
  <c r="M91" i="21" s="1"/>
  <c r="E64" i="25"/>
  <c r="N25" i="4"/>
  <c r="H7" i="25"/>
  <c r="O9" i="25" s="1"/>
  <c r="N24" i="4"/>
  <c r="K50" i="25"/>
  <c r="K52" i="25" s="1"/>
  <c r="J91" i="21" s="1"/>
  <c r="I50" i="25"/>
  <c r="I52" i="25" s="1"/>
  <c r="H91" i="21" s="1"/>
  <c r="O50" i="25"/>
  <c r="K61" i="25"/>
  <c r="M61" i="25"/>
  <c r="E61" i="25"/>
  <c r="G64" i="25"/>
  <c r="L61" i="25"/>
  <c r="N61" i="25"/>
  <c r="I61" i="25"/>
  <c r="O61" i="25"/>
  <c r="N64" i="25"/>
  <c r="I64" i="25"/>
  <c r="H76" i="25"/>
  <c r="H78" i="25" s="1"/>
  <c r="G147" i="21" s="1"/>
  <c r="K76" i="25"/>
  <c r="K78" i="25" s="1"/>
  <c r="J147" i="21" s="1"/>
  <c r="L76" i="25"/>
  <c r="L78" i="25" s="1"/>
  <c r="K147" i="21" s="1"/>
  <c r="N76" i="25"/>
  <c r="N78" i="25" s="1"/>
  <c r="M147" i="21" s="1"/>
  <c r="O76" i="25"/>
  <c r="J76" i="25"/>
  <c r="J78" i="25" s="1"/>
  <c r="I147" i="21" s="1"/>
  <c r="E76" i="25"/>
  <c r="E78" i="25" s="1"/>
  <c r="D147" i="21" s="1"/>
  <c r="F76" i="25"/>
  <c r="F78" i="25" s="1"/>
  <c r="E147" i="21" s="1"/>
  <c r="M76" i="25"/>
  <c r="M78" i="25" s="1"/>
  <c r="L147" i="21" s="1"/>
  <c r="G76" i="25"/>
  <c r="G78" i="25" s="1"/>
  <c r="F147" i="21" s="1"/>
  <c r="I76" i="25"/>
  <c r="I78" i="25" s="1"/>
  <c r="H147" i="21" s="1"/>
  <c r="H30" i="22"/>
  <c r="F32" i="22" s="1"/>
  <c r="H33" i="25"/>
  <c r="H50" i="22"/>
  <c r="K52" i="22" s="1"/>
  <c r="L62" i="22"/>
  <c r="L63" i="22" s="1"/>
  <c r="K148" i="21" s="1"/>
  <c r="F62" i="22"/>
  <c r="F63" i="22" s="1"/>
  <c r="E148" i="21" s="1"/>
  <c r="E62" i="22"/>
  <c r="E63" i="22" s="1"/>
  <c r="D148" i="21" s="1"/>
  <c r="G62" i="22"/>
  <c r="G63" i="22" s="1"/>
  <c r="F148" i="21" s="1"/>
  <c r="M62" i="22"/>
  <c r="M63" i="22" s="1"/>
  <c r="L148" i="21" s="1"/>
  <c r="O62" i="22"/>
  <c r="O63" i="22" s="1"/>
  <c r="N148" i="21" s="1"/>
  <c r="N62" i="22"/>
  <c r="N63" i="22" s="1"/>
  <c r="M148" i="21" s="1"/>
  <c r="H62" i="22"/>
  <c r="H63" i="22" s="1"/>
  <c r="G148" i="21" s="1"/>
  <c r="I62" i="22"/>
  <c r="I63" i="22" s="1"/>
  <c r="H148" i="21" s="1"/>
  <c r="L42" i="22"/>
  <c r="L43" i="22" s="1"/>
  <c r="K92" i="21" s="1"/>
  <c r="F42" i="22"/>
  <c r="F43" i="22" s="1"/>
  <c r="E92" i="21" s="1"/>
  <c r="N42" i="22"/>
  <c r="N43" i="22" s="1"/>
  <c r="M92" i="21" s="1"/>
  <c r="O42" i="22"/>
  <c r="O43" i="22" s="1"/>
  <c r="N92" i="21" s="1"/>
  <c r="J42" i="22"/>
  <c r="J43" i="22" s="1"/>
  <c r="I92" i="21" s="1"/>
  <c r="M42" i="22"/>
  <c r="M43" i="22" s="1"/>
  <c r="L92" i="21" s="1"/>
  <c r="G42" i="22"/>
  <c r="G43" i="22" s="1"/>
  <c r="F92" i="21" s="1"/>
  <c r="E42" i="22"/>
  <c r="E43" i="22" s="1"/>
  <c r="D92" i="21" s="1"/>
  <c r="K42" i="22"/>
  <c r="K43" i="22" s="1"/>
  <c r="J92" i="21" s="1"/>
  <c r="L79" i="20"/>
  <c r="L81" i="20" s="1"/>
  <c r="K142" i="21" s="1"/>
  <c r="D22" i="2"/>
  <c r="G79" i="20"/>
  <c r="G81" i="20" s="1"/>
  <c r="F142" i="21" s="1"/>
  <c r="E79" i="20"/>
  <c r="E81" i="20" s="1"/>
  <c r="D142" i="21" s="1"/>
  <c r="N79" i="20"/>
  <c r="N81" i="20" s="1"/>
  <c r="M142" i="21" s="1"/>
  <c r="I79" i="20"/>
  <c r="I81" i="20" s="1"/>
  <c r="H142" i="21" s="1"/>
  <c r="M79" i="20"/>
  <c r="M81" i="20" s="1"/>
  <c r="L142" i="21" s="1"/>
  <c r="O79" i="20"/>
  <c r="H7" i="20"/>
  <c r="M12" i="20" s="1"/>
  <c r="M14" i="20" s="1"/>
  <c r="H7" i="22"/>
  <c r="H34" i="20"/>
  <c r="E39" i="20" s="1"/>
  <c r="H61" i="20"/>
  <c r="J63" i="20" s="1"/>
  <c r="J64" i="20" s="1"/>
  <c r="J75" i="20" s="1"/>
  <c r="F79" i="20"/>
  <c r="F81" i="20" s="1"/>
  <c r="E142" i="21" s="1"/>
  <c r="L79" i="18"/>
  <c r="L81" i="18" s="1"/>
  <c r="K146" i="21" s="1"/>
  <c r="H79" i="18"/>
  <c r="H81" i="18" s="1"/>
  <c r="G146" i="21" s="1"/>
  <c r="E79" i="18"/>
  <c r="E81" i="18" s="1"/>
  <c r="D146" i="21" s="1"/>
  <c r="M79" i="18"/>
  <c r="M81" i="18" s="1"/>
  <c r="L146" i="21" s="1"/>
  <c r="I79" i="18"/>
  <c r="I81" i="18" s="1"/>
  <c r="H146" i="21" s="1"/>
  <c r="O79" i="18"/>
  <c r="AK14" i="2"/>
  <c r="P12" i="2"/>
  <c r="AK13" i="2"/>
  <c r="AE13" i="2"/>
  <c r="S12" i="2"/>
  <c r="AE12" i="2" s="1"/>
  <c r="AE14" i="2"/>
  <c r="AG13" i="2"/>
  <c r="H34" i="18"/>
  <c r="N38" i="18" s="1"/>
  <c r="H61" i="18"/>
  <c r="E65" i="18" s="1"/>
  <c r="J79" i="18"/>
  <c r="J81" i="18" s="1"/>
  <c r="I146" i="21" s="1"/>
  <c r="K79" i="18"/>
  <c r="K81" i="18" s="1"/>
  <c r="J146" i="21" s="1"/>
  <c r="N79" i="18"/>
  <c r="N81" i="18" s="1"/>
  <c r="M146" i="21" s="1"/>
  <c r="G79" i="18"/>
  <c r="G81" i="18" s="1"/>
  <c r="F146" i="21" s="1"/>
  <c r="H7" i="17"/>
  <c r="E10" i="17" s="1"/>
  <c r="H7" i="18"/>
  <c r="H35" i="17"/>
  <c r="N39" i="17" s="1"/>
  <c r="H55" i="14"/>
  <c r="F57" i="14" s="1"/>
  <c r="F63" i="14" s="1"/>
  <c r="H57" i="9"/>
  <c r="H60" i="12"/>
  <c r="H60" i="17"/>
  <c r="AG12" i="2"/>
  <c r="F46" i="14"/>
  <c r="F48" i="14" s="1"/>
  <c r="E87" i="21" s="1"/>
  <c r="K46" i="14"/>
  <c r="K48" i="14" s="1"/>
  <c r="J87" i="21" s="1"/>
  <c r="E46" i="14"/>
  <c r="E48" i="14" s="1"/>
  <c r="D87" i="21" s="1"/>
  <c r="J46" i="14"/>
  <c r="J48" i="14" s="1"/>
  <c r="I87" i="21" s="1"/>
  <c r="M46" i="14"/>
  <c r="M48" i="14" s="1"/>
  <c r="L87" i="21" s="1"/>
  <c r="O46" i="14"/>
  <c r="G46" i="14"/>
  <c r="G48" i="14" s="1"/>
  <c r="F87" i="21" s="1"/>
  <c r="N46" i="14"/>
  <c r="N48" i="14" s="1"/>
  <c r="M87" i="21" s="1"/>
  <c r="L46" i="14"/>
  <c r="L48" i="14" s="1"/>
  <c r="K87" i="21" s="1"/>
  <c r="H7" i="12"/>
  <c r="H7" i="14"/>
  <c r="H33" i="9"/>
  <c r="H31" i="14"/>
  <c r="H35" i="12"/>
  <c r="AL11" i="2"/>
  <c r="H7" i="9"/>
  <c r="L12" i="4"/>
  <c r="L11" i="4"/>
  <c r="D12" i="17" s="1"/>
  <c r="L10" i="4"/>
  <c r="L9" i="4"/>
  <c r="L8" i="4"/>
  <c r="L7" i="4"/>
  <c r="O14" i="4"/>
  <c r="O13" i="4"/>
  <c r="C75" i="4"/>
  <c r="C71" i="4"/>
  <c r="G62" i="4"/>
  <c r="G64" i="4" s="1"/>
  <c r="D26" i="4"/>
  <c r="D25" i="4"/>
  <c r="I9" i="25" l="1"/>
  <c r="O12" i="25"/>
  <c r="L59" i="9"/>
  <c r="F59" i="9"/>
  <c r="N59" i="9"/>
  <c r="M59" i="9"/>
  <c r="G59" i="9"/>
  <c r="G65" i="9" s="1"/>
  <c r="O59" i="9"/>
  <c r="K59" i="9"/>
  <c r="H59" i="9"/>
  <c r="E59" i="9"/>
  <c r="I59" i="9"/>
  <c r="J59" i="9"/>
  <c r="I35" i="9"/>
  <c r="K35" i="9"/>
  <c r="J35" i="9"/>
  <c r="L35" i="9"/>
  <c r="M35" i="9"/>
  <c r="E35" i="9"/>
  <c r="F35" i="9"/>
  <c r="N35" i="9"/>
  <c r="H35" i="9"/>
  <c r="G35" i="9"/>
  <c r="G41" i="9" s="1"/>
  <c r="O35" i="9"/>
  <c r="H34" i="31"/>
  <c r="F34" i="31"/>
  <c r="D34" i="31"/>
  <c r="D50" i="31"/>
  <c r="M34" i="31"/>
  <c r="J34" i="31"/>
  <c r="K34" i="31"/>
  <c r="G34" i="31"/>
  <c r="L34" i="31"/>
  <c r="I34" i="31"/>
  <c r="E34" i="31"/>
  <c r="L9" i="25"/>
  <c r="G12" i="25"/>
  <c r="K12" i="25"/>
  <c r="M9" i="25"/>
  <c r="N9" i="25"/>
  <c r="G9" i="25"/>
  <c r="E9" i="25"/>
  <c r="N12" i="25"/>
  <c r="F12" i="25"/>
  <c r="J12" i="25"/>
  <c r="H9" i="25"/>
  <c r="K9" i="25"/>
  <c r="F9" i="25"/>
  <c r="M12" i="25"/>
  <c r="J9" i="25"/>
  <c r="E12" i="25"/>
  <c r="E13" i="25" s="1"/>
  <c r="L12" i="25"/>
  <c r="H64" i="25"/>
  <c r="F64" i="25"/>
  <c r="F65" i="25" s="1"/>
  <c r="F61" i="25"/>
  <c r="F62" i="25" s="1"/>
  <c r="H61" i="25"/>
  <c r="H62" i="25" s="1"/>
  <c r="G61" i="25"/>
  <c r="J61" i="25"/>
  <c r="J63" i="25" s="1"/>
  <c r="O64" i="25"/>
  <c r="H52" i="22"/>
  <c r="H55" i="22" s="1"/>
  <c r="F52" i="22"/>
  <c r="F55" i="22" s="1"/>
  <c r="G52" i="22"/>
  <c r="G59" i="22" s="1"/>
  <c r="G60" i="22" s="1"/>
  <c r="F137" i="21" s="1"/>
  <c r="E52" i="22"/>
  <c r="E55" i="22" s="1"/>
  <c r="I52" i="22"/>
  <c r="I55" i="22" s="1"/>
  <c r="J52" i="22"/>
  <c r="J55" i="22" s="1"/>
  <c r="O12" i="20"/>
  <c r="O14" i="20" s="1"/>
  <c r="K12" i="20"/>
  <c r="K14" i="20" s="1"/>
  <c r="F9" i="20"/>
  <c r="E32" i="22"/>
  <c r="E36" i="22" s="1"/>
  <c r="G32" i="22"/>
  <c r="G35" i="22" s="1"/>
  <c r="F12" i="20"/>
  <c r="F14" i="20" s="1"/>
  <c r="N12" i="20"/>
  <c r="N14" i="20" s="1"/>
  <c r="G9" i="20"/>
  <c r="I32" i="22"/>
  <c r="I39" i="22" s="1"/>
  <c r="I40" i="22" s="1"/>
  <c r="H81" i="21" s="1"/>
  <c r="G12" i="20"/>
  <c r="G14" i="20" s="1"/>
  <c r="H32" i="22"/>
  <c r="H39" i="22" s="1"/>
  <c r="H40" i="22" s="1"/>
  <c r="G81" i="21" s="1"/>
  <c r="D67" i="25"/>
  <c r="D41" i="25"/>
  <c r="D15" i="25"/>
  <c r="E9" i="20"/>
  <c r="E12" i="20"/>
  <c r="E14" i="20" s="1"/>
  <c r="L12" i="20"/>
  <c r="L14" i="20" s="1"/>
  <c r="E65" i="25"/>
  <c r="I10" i="25"/>
  <c r="I11" i="25"/>
  <c r="O11" i="25"/>
  <c r="O20" i="25" s="1"/>
  <c r="O10" i="25"/>
  <c r="O62" i="25"/>
  <c r="O63" i="25"/>
  <c r="O72" i="25" s="1"/>
  <c r="L10" i="25"/>
  <c r="L11" i="25"/>
  <c r="L20" i="25" s="1"/>
  <c r="I63" i="25"/>
  <c r="I72" i="25" s="1"/>
  <c r="I62" i="25"/>
  <c r="E62" i="25"/>
  <c r="E63" i="25"/>
  <c r="E72" i="25" s="1"/>
  <c r="G11" i="25"/>
  <c r="G20" i="25" s="1"/>
  <c r="G10" i="25"/>
  <c r="E11" i="25"/>
  <c r="E20" i="25" s="1"/>
  <c r="E10" i="25"/>
  <c r="N62" i="25"/>
  <c r="N63" i="25"/>
  <c r="N72" i="25" s="1"/>
  <c r="L63" i="25"/>
  <c r="L72" i="25" s="1"/>
  <c r="L62" i="25"/>
  <c r="M62" i="25"/>
  <c r="M63" i="25"/>
  <c r="E63" i="20"/>
  <c r="E64" i="20" s="1"/>
  <c r="E75" i="20" s="1"/>
  <c r="H11" i="25"/>
  <c r="H10" i="25"/>
  <c r="K63" i="25"/>
  <c r="K62" i="25"/>
  <c r="J10" i="25"/>
  <c r="J11" i="25"/>
  <c r="J20" i="25" s="1"/>
  <c r="G63" i="25"/>
  <c r="G72" i="25" s="1"/>
  <c r="G62" i="25"/>
  <c r="M38" i="25"/>
  <c r="N38" i="25"/>
  <c r="E38" i="25"/>
  <c r="O38" i="25"/>
  <c r="F38" i="25"/>
  <c r="G38" i="25"/>
  <c r="H38" i="25"/>
  <c r="I38" i="25"/>
  <c r="L38" i="25"/>
  <c r="I39" i="20"/>
  <c r="I41" i="20" s="1"/>
  <c r="H39" i="20"/>
  <c r="H41" i="20" s="1"/>
  <c r="H42" i="20" s="1"/>
  <c r="I42" i="20" s="1"/>
  <c r="L35" i="25"/>
  <c r="L36" i="25" s="1"/>
  <c r="K35" i="25"/>
  <c r="K36" i="25" s="1"/>
  <c r="N35" i="25"/>
  <c r="N36" i="25" s="1"/>
  <c r="J35" i="25"/>
  <c r="J36" i="25" s="1"/>
  <c r="I35" i="25"/>
  <c r="I36" i="25" s="1"/>
  <c r="H35" i="25"/>
  <c r="H36" i="25" s="1"/>
  <c r="F35" i="25"/>
  <c r="F36" i="25" s="1"/>
  <c r="O35" i="25"/>
  <c r="O36" i="25" s="1"/>
  <c r="G35" i="25"/>
  <c r="G36" i="25" s="1"/>
  <c r="M35" i="25"/>
  <c r="M36" i="25" s="1"/>
  <c r="E35" i="25"/>
  <c r="E36" i="25" s="1"/>
  <c r="G63" i="20"/>
  <c r="G64" i="20" s="1"/>
  <c r="G75" i="20" s="1"/>
  <c r="K63" i="20"/>
  <c r="K64" i="20" s="1"/>
  <c r="K75" i="20" s="1"/>
  <c r="I63" i="20"/>
  <c r="I64" i="20" s="1"/>
  <c r="I75" i="20" s="1"/>
  <c r="G66" i="20"/>
  <c r="G68" i="20" s="1"/>
  <c r="G71" i="20" s="1"/>
  <c r="G72" i="20" s="1"/>
  <c r="G73" i="20" s="1"/>
  <c r="G74" i="20" s="1"/>
  <c r="F36" i="20"/>
  <c r="F37" i="20" s="1"/>
  <c r="F48" i="20" s="1"/>
  <c r="N66" i="20"/>
  <c r="N68" i="20" s="1"/>
  <c r="N71" i="20" s="1"/>
  <c r="N72" i="20" s="1"/>
  <c r="N73" i="20" s="1"/>
  <c r="M120" i="21" s="1"/>
  <c r="H63" i="20"/>
  <c r="H64" i="20" s="1"/>
  <c r="H75" i="20" s="1"/>
  <c r="F66" i="20"/>
  <c r="F68" i="20" s="1"/>
  <c r="F71" i="20" s="1"/>
  <c r="F72" i="20" s="1"/>
  <c r="F73" i="20" s="1"/>
  <c r="F74" i="20" s="1"/>
  <c r="K66" i="20"/>
  <c r="K68" i="20" s="1"/>
  <c r="K71" i="20" s="1"/>
  <c r="K72" i="20" s="1"/>
  <c r="K73" i="20" s="1"/>
  <c r="J120" i="21" s="1"/>
  <c r="O66" i="20"/>
  <c r="O68" i="20" s="1"/>
  <c r="O71" i="20" s="1"/>
  <c r="O72" i="20" s="1"/>
  <c r="O73" i="20" s="1"/>
  <c r="N120" i="21" s="1"/>
  <c r="F63" i="20"/>
  <c r="F64" i="20" s="1"/>
  <c r="F75" i="20" s="1"/>
  <c r="AK12" i="2"/>
  <c r="I66" i="20"/>
  <c r="I68" i="20" s="1"/>
  <c r="I71" i="20" s="1"/>
  <c r="I72" i="20" s="1"/>
  <c r="I73" i="20" s="1"/>
  <c r="I74" i="20" s="1"/>
  <c r="E66" i="20"/>
  <c r="O39" i="20"/>
  <c r="O41" i="20" s="1"/>
  <c r="O38" i="18"/>
  <c r="K55" i="22"/>
  <c r="K59" i="22"/>
  <c r="K60" i="22" s="1"/>
  <c r="J137" i="21" s="1"/>
  <c r="K56" i="22"/>
  <c r="K54" i="22"/>
  <c r="E39" i="22"/>
  <c r="E40" i="22" s="1"/>
  <c r="D81" i="21" s="1"/>
  <c r="F56" i="22"/>
  <c r="F54" i="22"/>
  <c r="I34" i="22"/>
  <c r="H36" i="22"/>
  <c r="H34" i="22"/>
  <c r="G55" i="22"/>
  <c r="G54" i="22"/>
  <c r="G39" i="22"/>
  <c r="G40" i="22" s="1"/>
  <c r="F81" i="21" s="1"/>
  <c r="G36" i="22"/>
  <c r="O63" i="18"/>
  <c r="O64" i="18" s="1"/>
  <c r="O75" i="18" s="1"/>
  <c r="F35" i="22"/>
  <c r="F36" i="22"/>
  <c r="F34" i="22"/>
  <c r="F39" i="22"/>
  <c r="F40" i="22" s="1"/>
  <c r="E81" i="21" s="1"/>
  <c r="J59" i="22"/>
  <c r="J60" i="22" s="1"/>
  <c r="I137" i="21" s="1"/>
  <c r="L52" i="22"/>
  <c r="O52" i="22"/>
  <c r="K62" i="22"/>
  <c r="K63" i="22" s="1"/>
  <c r="N52" i="22"/>
  <c r="J62" i="22"/>
  <c r="J63" i="22" s="1"/>
  <c r="M52" i="22"/>
  <c r="G65" i="18"/>
  <c r="M39" i="20"/>
  <c r="M41" i="20" s="1"/>
  <c r="I36" i="20"/>
  <c r="I37" i="20" s="1"/>
  <c r="I48" i="20" s="1"/>
  <c r="E36" i="20"/>
  <c r="E37" i="20" s="1"/>
  <c r="E48" i="20" s="1"/>
  <c r="D12" i="20"/>
  <c r="D39" i="20"/>
  <c r="D66" i="20"/>
  <c r="G36" i="18"/>
  <c r="G37" i="18" s="1"/>
  <c r="G48" i="18" s="1"/>
  <c r="J66" i="20"/>
  <c r="J68" i="20" s="1"/>
  <c r="J71" i="20" s="1"/>
  <c r="J72" i="20" s="1"/>
  <c r="J73" i="20" s="1"/>
  <c r="H36" i="20"/>
  <c r="H37" i="20" s="1"/>
  <c r="H48" i="20" s="1"/>
  <c r="N39" i="20"/>
  <c r="N41" i="20" s="1"/>
  <c r="L39" i="20"/>
  <c r="L41" i="20" s="1"/>
  <c r="G36" i="20"/>
  <c r="G37" i="20" s="1"/>
  <c r="G48" i="20" s="1"/>
  <c r="G9" i="22"/>
  <c r="F9" i="22"/>
  <c r="E9" i="22"/>
  <c r="K38" i="18"/>
  <c r="H66" i="20"/>
  <c r="H68" i="20" s="1"/>
  <c r="H71" i="20" s="1"/>
  <c r="H72" i="20" s="1"/>
  <c r="H73" i="20" s="1"/>
  <c r="G120" i="21" s="1"/>
  <c r="G39" i="20"/>
  <c r="G41" i="20" s="1"/>
  <c r="F39" i="20"/>
  <c r="F41" i="20" s="1"/>
  <c r="F38" i="18"/>
  <c r="J65" i="18"/>
  <c r="H36" i="18"/>
  <c r="H37" i="18" s="1"/>
  <c r="H48" i="18" s="1"/>
  <c r="G38" i="18"/>
  <c r="M63" i="18"/>
  <c r="M64" i="18" s="1"/>
  <c r="M75" i="18" s="1"/>
  <c r="H63" i="18"/>
  <c r="H64" i="18" s="1"/>
  <c r="H75" i="18" s="1"/>
  <c r="F65" i="18"/>
  <c r="F66" i="18" s="1"/>
  <c r="L38" i="18"/>
  <c r="E36" i="18"/>
  <c r="E37" i="18" s="1"/>
  <c r="E48" i="18" s="1"/>
  <c r="H65" i="18"/>
  <c r="K65" i="18"/>
  <c r="O65" i="18"/>
  <c r="I36" i="18"/>
  <c r="I37" i="18" s="1"/>
  <c r="I48" i="18" s="1"/>
  <c r="H38" i="18"/>
  <c r="F63" i="18"/>
  <c r="F64" i="18" s="1"/>
  <c r="F75" i="18" s="1"/>
  <c r="I63" i="18"/>
  <c r="I64" i="18" s="1"/>
  <c r="I75" i="18" s="1"/>
  <c r="N65" i="18"/>
  <c r="M38" i="18"/>
  <c r="F36" i="18"/>
  <c r="F37" i="18" s="1"/>
  <c r="F48" i="18" s="1"/>
  <c r="N63" i="18"/>
  <c r="N64" i="18" s="1"/>
  <c r="N75" i="18" s="1"/>
  <c r="M65" i="18"/>
  <c r="E38" i="18"/>
  <c r="E39" i="18" s="1"/>
  <c r="I38" i="18"/>
  <c r="I65" i="18"/>
  <c r="J63" i="18"/>
  <c r="J64" i="18" s="1"/>
  <c r="J75" i="18" s="1"/>
  <c r="E41" i="20"/>
  <c r="E40" i="20"/>
  <c r="E63" i="18"/>
  <c r="E64" i="18" s="1"/>
  <c r="E75" i="18" s="1"/>
  <c r="K63" i="18"/>
  <c r="K64" i="18" s="1"/>
  <c r="K75" i="18" s="1"/>
  <c r="L63" i="18"/>
  <c r="L64" i="18" s="1"/>
  <c r="L75" i="18" s="1"/>
  <c r="G63" i="18"/>
  <c r="G64" i="18" s="1"/>
  <c r="G75" i="18" s="1"/>
  <c r="O12" i="17"/>
  <c r="F10" i="20"/>
  <c r="F21" i="20" s="1"/>
  <c r="G33" i="14"/>
  <c r="G39" i="14" s="1"/>
  <c r="I33" i="14"/>
  <c r="I39" i="14" s="1"/>
  <c r="H33" i="14"/>
  <c r="H39" i="14" s="1"/>
  <c r="E33" i="14"/>
  <c r="E39" i="14" s="1"/>
  <c r="F33" i="14"/>
  <c r="F39" i="14" s="1"/>
  <c r="O59" i="14"/>
  <c r="D11" i="18"/>
  <c r="D65" i="18"/>
  <c r="D38" i="18"/>
  <c r="G37" i="17"/>
  <c r="G38" i="17" s="1"/>
  <c r="G47" i="17" s="1"/>
  <c r="K57" i="14"/>
  <c r="K63" i="14" s="1"/>
  <c r="J57" i="14"/>
  <c r="J63" i="14" s="1"/>
  <c r="H59" i="14"/>
  <c r="E57" i="14"/>
  <c r="E63" i="14" s="1"/>
  <c r="F59" i="14"/>
  <c r="H57" i="14"/>
  <c r="H63" i="14" s="1"/>
  <c r="N59" i="14"/>
  <c r="G59" i="14"/>
  <c r="I57" i="14"/>
  <c r="I63" i="14" s="1"/>
  <c r="E44" i="17"/>
  <c r="E43" i="17" s="1"/>
  <c r="E39" i="17"/>
  <c r="I59" i="14"/>
  <c r="J59" i="14"/>
  <c r="G57" i="14"/>
  <c r="G63" i="14" s="1"/>
  <c r="E59" i="14"/>
  <c r="N12" i="17"/>
  <c r="I37" i="17"/>
  <c r="I44" i="17" s="1"/>
  <c r="I43" i="17" s="1"/>
  <c r="F12" i="17"/>
  <c r="M39" i="17"/>
  <c r="K12" i="17"/>
  <c r="G39" i="17"/>
  <c r="F37" i="17"/>
  <c r="F38" i="17" s="1"/>
  <c r="F47" i="17" s="1"/>
  <c r="L12" i="17"/>
  <c r="O39" i="17"/>
  <c r="G10" i="17"/>
  <c r="E12" i="17"/>
  <c r="E13" i="17" s="1"/>
  <c r="H37" i="17"/>
  <c r="H38" i="17" s="1"/>
  <c r="H47" i="17" s="1"/>
  <c r="F39" i="17"/>
  <c r="M12" i="17"/>
  <c r="H39" i="17"/>
  <c r="E66" i="18"/>
  <c r="F10" i="17"/>
  <c r="O11" i="18"/>
  <c r="G11" i="18"/>
  <c r="G9" i="18"/>
  <c r="N11" i="18"/>
  <c r="F11" i="18"/>
  <c r="F9" i="18"/>
  <c r="M11" i="18"/>
  <c r="E11" i="18"/>
  <c r="E9" i="18"/>
  <c r="D77" i="31" s="1"/>
  <c r="L11" i="18"/>
  <c r="K11" i="18"/>
  <c r="D35" i="14"/>
  <c r="D11" i="14"/>
  <c r="D59" i="14"/>
  <c r="D64" i="17"/>
  <c r="D39" i="17"/>
  <c r="D64" i="12"/>
  <c r="D12" i="12"/>
  <c r="D39" i="12"/>
  <c r="E11" i="17"/>
  <c r="E20" i="17" s="1"/>
  <c r="O64" i="17"/>
  <c r="G64" i="17"/>
  <c r="G62" i="17"/>
  <c r="F64" i="17"/>
  <c r="F62" i="17"/>
  <c r="E64" i="17"/>
  <c r="E62" i="17"/>
  <c r="J64" i="17"/>
  <c r="J62" i="17"/>
  <c r="K62" i="17"/>
  <c r="I64" i="17"/>
  <c r="I62" i="17"/>
  <c r="H64" i="17"/>
  <c r="H62" i="17"/>
  <c r="O64" i="12"/>
  <c r="I64" i="12"/>
  <c r="F62" i="12"/>
  <c r="F70" i="12" s="1"/>
  <c r="I62" i="12"/>
  <c r="I70" i="12" s="1"/>
  <c r="G64" i="12"/>
  <c r="J62" i="12"/>
  <c r="J70" i="12" s="1"/>
  <c r="F64" i="12"/>
  <c r="J64" i="12"/>
  <c r="G62" i="12"/>
  <c r="G70" i="12" s="1"/>
  <c r="K62" i="12"/>
  <c r="K70" i="12" s="1"/>
  <c r="E64" i="12"/>
  <c r="H64" i="12"/>
  <c r="H62" i="12"/>
  <c r="H70" i="12" s="1"/>
  <c r="E62" i="12"/>
  <c r="E70" i="12" s="1"/>
  <c r="E65" i="9"/>
  <c r="G61" i="9"/>
  <c r="J65" i="9"/>
  <c r="H65" i="9"/>
  <c r="F61" i="9"/>
  <c r="E61" i="9"/>
  <c r="N61" i="9"/>
  <c r="I65" i="9"/>
  <c r="F65" i="9"/>
  <c r="O61" i="9"/>
  <c r="K65" i="9"/>
  <c r="H61" i="9"/>
  <c r="I61" i="9"/>
  <c r="F58" i="14"/>
  <c r="F66" i="14" s="1"/>
  <c r="L11" i="14"/>
  <c r="K11" i="14"/>
  <c r="J11" i="14"/>
  <c r="O11" i="14"/>
  <c r="G9" i="14"/>
  <c r="N11" i="14"/>
  <c r="M11" i="14"/>
  <c r="F11" i="14"/>
  <c r="E9" i="14"/>
  <c r="E11" i="14"/>
  <c r="F9" i="14"/>
  <c r="M39" i="12"/>
  <c r="H37" i="12"/>
  <c r="H44" i="12" s="1"/>
  <c r="E37" i="12"/>
  <c r="E44" i="12" s="1"/>
  <c r="I37" i="12"/>
  <c r="I44" i="12" s="1"/>
  <c r="G37" i="12"/>
  <c r="G44" i="12" s="1"/>
  <c r="F39" i="12"/>
  <c r="G39" i="12"/>
  <c r="O39" i="12"/>
  <c r="N39" i="12"/>
  <c r="E39" i="12"/>
  <c r="F37" i="12"/>
  <c r="F44" i="12" s="1"/>
  <c r="F9" i="9"/>
  <c r="E70" i="31" s="1"/>
  <c r="G9" i="9"/>
  <c r="E9" i="9"/>
  <c r="D70" i="31" s="1"/>
  <c r="O12" i="12"/>
  <c r="N12" i="12"/>
  <c r="M12" i="12"/>
  <c r="F12" i="12"/>
  <c r="E12" i="12"/>
  <c r="L12" i="12"/>
  <c r="E10" i="12"/>
  <c r="F10" i="12"/>
  <c r="K12" i="12"/>
  <c r="G10" i="12"/>
  <c r="N35" i="14"/>
  <c r="F35" i="14"/>
  <c r="M35" i="14"/>
  <c r="E35" i="14"/>
  <c r="L35" i="14"/>
  <c r="H35" i="14"/>
  <c r="G35" i="14"/>
  <c r="O35" i="14"/>
  <c r="H39" i="12"/>
  <c r="L37" i="9"/>
  <c r="O37" i="9"/>
  <c r="E37" i="9"/>
  <c r="H41" i="9"/>
  <c r="M37" i="9"/>
  <c r="F41" i="9"/>
  <c r="N37" i="9"/>
  <c r="G37" i="9"/>
  <c r="H37" i="9"/>
  <c r="I41" i="9"/>
  <c r="F37" i="9"/>
  <c r="E41" i="9"/>
  <c r="D61" i="9"/>
  <c r="D37" i="9"/>
  <c r="K11" i="9"/>
  <c r="L11" i="9"/>
  <c r="M11" i="9"/>
  <c r="J11" i="9"/>
  <c r="N11" i="9"/>
  <c r="O11" i="9"/>
  <c r="F11" i="9"/>
  <c r="E11" i="9"/>
  <c r="E12" i="9" s="1"/>
  <c r="E19" i="9" s="1"/>
  <c r="J61" i="9"/>
  <c r="D11" i="9"/>
  <c r="E35" i="22" l="1"/>
  <c r="F70" i="31"/>
  <c r="F59" i="22"/>
  <c r="F60" i="22" s="1"/>
  <c r="E137" i="21" s="1"/>
  <c r="D75" i="31"/>
  <c r="M11" i="25"/>
  <c r="M20" i="25" s="1"/>
  <c r="L78" i="31"/>
  <c r="F77" i="31"/>
  <c r="G78" i="31"/>
  <c r="H78" i="31"/>
  <c r="F15" i="14"/>
  <c r="E72" i="31"/>
  <c r="G11" i="17"/>
  <c r="F75" i="31"/>
  <c r="E16" i="22"/>
  <c r="D80" i="31"/>
  <c r="E71" i="31"/>
  <c r="K78" i="31"/>
  <c r="F17" i="12"/>
  <c r="E74" i="31"/>
  <c r="E15" i="14"/>
  <c r="D72" i="31"/>
  <c r="F11" i="17"/>
  <c r="F20" i="17" s="1"/>
  <c r="E75" i="31"/>
  <c r="F16" i="22"/>
  <c r="E80" i="31"/>
  <c r="K11" i="25"/>
  <c r="K20" i="25" s="1"/>
  <c r="J78" i="31"/>
  <c r="G17" i="12"/>
  <c r="F74" i="31"/>
  <c r="E17" i="12"/>
  <c r="D74" i="31"/>
  <c r="G16" i="22"/>
  <c r="F80" i="31"/>
  <c r="I78" i="31"/>
  <c r="D78" i="31"/>
  <c r="E77" i="31"/>
  <c r="G10" i="20"/>
  <c r="G21" i="20" s="1"/>
  <c r="F71" i="31"/>
  <c r="F78" i="31"/>
  <c r="G15" i="14"/>
  <c r="F72" i="31"/>
  <c r="E10" i="20"/>
  <c r="E21" i="20" s="1"/>
  <c r="D71" i="31"/>
  <c r="F11" i="25"/>
  <c r="F20" i="25" s="1"/>
  <c r="E78" i="31"/>
  <c r="N11" i="25"/>
  <c r="N20" i="25" s="1"/>
  <c r="M78" i="31"/>
  <c r="N78" i="31"/>
  <c r="N66" i="31"/>
  <c r="E93" i="31" s="1"/>
  <c r="D66" i="31"/>
  <c r="G66" i="31"/>
  <c r="H66" i="31"/>
  <c r="K66" i="31"/>
  <c r="F66" i="31"/>
  <c r="E15" i="9"/>
  <c r="N10" i="25"/>
  <c r="M66" i="31" s="1"/>
  <c r="G15" i="9"/>
  <c r="F15" i="9"/>
  <c r="E56" i="22"/>
  <c r="M10" i="25"/>
  <c r="L66" i="31" s="1"/>
  <c r="E54" i="22"/>
  <c r="F10" i="25"/>
  <c r="E66" i="31" s="1"/>
  <c r="H63" i="25"/>
  <c r="H72" i="25" s="1"/>
  <c r="F63" i="25"/>
  <c r="F72" i="25" s="1"/>
  <c r="K10" i="25"/>
  <c r="J66" i="31" s="1"/>
  <c r="M72" i="25"/>
  <c r="M64" i="25"/>
  <c r="J62" i="25"/>
  <c r="I66" i="31" s="1"/>
  <c r="L64" i="25"/>
  <c r="G65" i="25"/>
  <c r="G73" i="25" s="1"/>
  <c r="G74" i="25" s="1"/>
  <c r="F136" i="21" s="1"/>
  <c r="G13" i="25"/>
  <c r="G15" i="25" s="1"/>
  <c r="G17" i="25" s="1"/>
  <c r="G18" i="25" s="1"/>
  <c r="F13" i="25"/>
  <c r="F21" i="25" s="1"/>
  <c r="F22" i="25" s="1"/>
  <c r="E22" i="21" s="1"/>
  <c r="H56" i="22"/>
  <c r="H59" i="22"/>
  <c r="H60" i="22" s="1"/>
  <c r="G137" i="21" s="1"/>
  <c r="H54" i="22"/>
  <c r="H57" i="22" s="1"/>
  <c r="I65" i="25"/>
  <c r="I73" i="25" s="1"/>
  <c r="I74" i="25" s="1"/>
  <c r="H136" i="21" s="1"/>
  <c r="E13" i="20"/>
  <c r="E11" i="20" s="1"/>
  <c r="H65" i="25"/>
  <c r="H73" i="25" s="1"/>
  <c r="F13" i="20"/>
  <c r="F11" i="20" s="1"/>
  <c r="J54" i="22"/>
  <c r="J57" i="22" s="1"/>
  <c r="J58" i="22" s="1"/>
  <c r="J56" i="22"/>
  <c r="I35" i="22"/>
  <c r="I36" i="22"/>
  <c r="I54" i="22"/>
  <c r="I59" i="22"/>
  <c r="I60" i="22" s="1"/>
  <c r="H137" i="21" s="1"/>
  <c r="I56" i="22"/>
  <c r="G56" i="22"/>
  <c r="G57" i="22" s="1"/>
  <c r="F126" i="21" s="1"/>
  <c r="G34" i="22"/>
  <c r="G37" i="22" s="1"/>
  <c r="E59" i="22"/>
  <c r="E60" i="22" s="1"/>
  <c r="D137" i="21" s="1"/>
  <c r="G13" i="20"/>
  <c r="G11" i="20" s="1"/>
  <c r="H35" i="22"/>
  <c r="H37" i="22" s="1"/>
  <c r="E34" i="22"/>
  <c r="I20" i="25"/>
  <c r="I12" i="25"/>
  <c r="K72" i="25"/>
  <c r="K64" i="25"/>
  <c r="J72" i="25"/>
  <c r="J64" i="25"/>
  <c r="F67" i="25"/>
  <c r="F73" i="25"/>
  <c r="H20" i="25"/>
  <c r="H12" i="25"/>
  <c r="E67" i="25"/>
  <c r="E69" i="25" s="1"/>
  <c r="E70" i="25" s="1"/>
  <c r="E73" i="25"/>
  <c r="E74" i="25" s="1"/>
  <c r="D136" i="21" s="1"/>
  <c r="E21" i="25"/>
  <c r="E22" i="25" s="1"/>
  <c r="D22" i="21" s="1"/>
  <c r="E15" i="25"/>
  <c r="E17" i="25" s="1"/>
  <c r="E18" i="25" s="1"/>
  <c r="I39" i="25"/>
  <c r="I41" i="25" s="1"/>
  <c r="H39" i="25"/>
  <c r="H41" i="25" s="1"/>
  <c r="G39" i="25"/>
  <c r="G41" i="25" s="1"/>
  <c r="E39" i="25"/>
  <c r="E41" i="25" s="1"/>
  <c r="F39" i="25"/>
  <c r="F41" i="25" s="1"/>
  <c r="O80" i="20"/>
  <c r="O81" i="20" s="1"/>
  <c r="N142" i="21" s="1"/>
  <c r="O74" i="20"/>
  <c r="E37" i="25"/>
  <c r="E46" i="25" s="1"/>
  <c r="K37" i="25"/>
  <c r="K38" i="25" s="1"/>
  <c r="M37" i="25"/>
  <c r="M46" i="25" s="1"/>
  <c r="H37" i="25"/>
  <c r="H46" i="25" s="1"/>
  <c r="L37" i="25"/>
  <c r="G37" i="25"/>
  <c r="G46" i="25" s="1"/>
  <c r="I37" i="25"/>
  <c r="I46" i="25" s="1"/>
  <c r="O37" i="25"/>
  <c r="O46" i="25" s="1"/>
  <c r="J37" i="25"/>
  <c r="J38" i="25" s="1"/>
  <c r="F37" i="25"/>
  <c r="F46" i="25" s="1"/>
  <c r="N37" i="25"/>
  <c r="N46" i="25" s="1"/>
  <c r="K74" i="20"/>
  <c r="G67" i="20"/>
  <c r="G65" i="20" s="1"/>
  <c r="F67" i="20"/>
  <c r="F76" i="20" s="1"/>
  <c r="F77" i="20" s="1"/>
  <c r="N74" i="20"/>
  <c r="E120" i="21"/>
  <c r="F120" i="21"/>
  <c r="E67" i="20"/>
  <c r="E76" i="20" s="1"/>
  <c r="E77" i="20" s="1"/>
  <c r="E68" i="20"/>
  <c r="E71" i="20" s="1"/>
  <c r="E72" i="20" s="1"/>
  <c r="E73" i="20" s="1"/>
  <c r="D120" i="21" s="1"/>
  <c r="E58" i="14"/>
  <c r="E66" i="14" s="1"/>
  <c r="H120" i="21"/>
  <c r="K57" i="22"/>
  <c r="K65" i="22" s="1"/>
  <c r="H69" i="20"/>
  <c r="I69" i="20" s="1"/>
  <c r="F37" i="22"/>
  <c r="E37" i="22"/>
  <c r="F57" i="22"/>
  <c r="H66" i="18"/>
  <c r="H76" i="18" s="1"/>
  <c r="H77" i="18" s="1"/>
  <c r="G135" i="21" s="1"/>
  <c r="L55" i="22"/>
  <c r="L59" i="22"/>
  <c r="L60" i="22" s="1"/>
  <c r="K137" i="21" s="1"/>
  <c r="L56" i="22"/>
  <c r="L54" i="22"/>
  <c r="M59" i="22"/>
  <c r="M60" i="22" s="1"/>
  <c r="L137" i="21" s="1"/>
  <c r="M55" i="22"/>
  <c r="M56" i="22"/>
  <c r="M54" i="22"/>
  <c r="I148" i="21"/>
  <c r="N56" i="22"/>
  <c r="N55" i="22"/>
  <c r="N54" i="22"/>
  <c r="N59" i="22"/>
  <c r="N60" i="22" s="1"/>
  <c r="M137" i="21" s="1"/>
  <c r="J148" i="21"/>
  <c r="J74" i="20"/>
  <c r="I120" i="21"/>
  <c r="O55" i="22"/>
  <c r="O56" i="22"/>
  <c r="O54" i="22"/>
  <c r="O59" i="22"/>
  <c r="O60" i="22" s="1"/>
  <c r="N137" i="21" s="1"/>
  <c r="E13" i="22"/>
  <c r="E11" i="22"/>
  <c r="E12" i="22"/>
  <c r="F13" i="22"/>
  <c r="F11" i="22"/>
  <c r="F12" i="22"/>
  <c r="G13" i="22"/>
  <c r="G11" i="22"/>
  <c r="G12" i="22"/>
  <c r="J67" i="20"/>
  <c r="J65" i="20" s="1"/>
  <c r="G44" i="17"/>
  <c r="G43" i="17" s="1"/>
  <c r="F39" i="18"/>
  <c r="F40" i="18" s="1"/>
  <c r="I67" i="20"/>
  <c r="I65" i="20" s="1"/>
  <c r="F40" i="20"/>
  <c r="F49" i="20" s="1"/>
  <c r="F50" i="20" s="1"/>
  <c r="E75" i="21" s="1"/>
  <c r="E38" i="17"/>
  <c r="E47" i="17" s="1"/>
  <c r="G58" i="14"/>
  <c r="G66" i="14" s="1"/>
  <c r="H58" i="14"/>
  <c r="H66" i="14" s="1"/>
  <c r="H40" i="20"/>
  <c r="H49" i="20" s="1"/>
  <c r="H50" i="20" s="1"/>
  <c r="G75" i="21" s="1"/>
  <c r="G40" i="20"/>
  <c r="G38" i="20" s="1"/>
  <c r="J58" i="14"/>
  <c r="J66" i="14" s="1"/>
  <c r="I40" i="20"/>
  <c r="I38" i="20" s="1"/>
  <c r="K67" i="20"/>
  <c r="K65" i="20" s="1"/>
  <c r="G39" i="18"/>
  <c r="G40" i="18" s="1"/>
  <c r="H39" i="18"/>
  <c r="H49" i="18" s="1"/>
  <c r="H50" i="18" s="1"/>
  <c r="G79" i="21" s="1"/>
  <c r="H67" i="20"/>
  <c r="H76" i="20" s="1"/>
  <c r="H77" i="20" s="1"/>
  <c r="I39" i="18"/>
  <c r="I49" i="18" s="1"/>
  <c r="I50" i="18" s="1"/>
  <c r="H79" i="21" s="1"/>
  <c r="I66" i="18"/>
  <c r="I67" i="18" s="1"/>
  <c r="I69" i="18" s="1"/>
  <c r="L65" i="18"/>
  <c r="N66" i="18" s="1"/>
  <c r="N76" i="18" s="1"/>
  <c r="N77" i="18" s="1"/>
  <c r="M135" i="21" s="1"/>
  <c r="E49" i="20"/>
  <c r="E50" i="20" s="1"/>
  <c r="D75" i="21" s="1"/>
  <c r="E38" i="20"/>
  <c r="K58" i="14"/>
  <c r="K66" i="14" s="1"/>
  <c r="J66" i="18"/>
  <c r="J67" i="18" s="1"/>
  <c r="J69" i="18" s="1"/>
  <c r="H74" i="20"/>
  <c r="K66" i="18"/>
  <c r="K67" i="18" s="1"/>
  <c r="K69" i="18" s="1"/>
  <c r="G66" i="18"/>
  <c r="G76" i="18" s="1"/>
  <c r="G77" i="18" s="1"/>
  <c r="F135" i="21" s="1"/>
  <c r="I58" i="14"/>
  <c r="I66" i="14" s="1"/>
  <c r="F44" i="17"/>
  <c r="F43" i="17" s="1"/>
  <c r="H44" i="17"/>
  <c r="H43" i="17" s="1"/>
  <c r="I38" i="17"/>
  <c r="I47" i="17" s="1"/>
  <c r="G60" i="14"/>
  <c r="G67" i="14" s="1"/>
  <c r="F13" i="17"/>
  <c r="F21" i="17" s="1"/>
  <c r="F22" i="17" s="1"/>
  <c r="E20" i="21" s="1"/>
  <c r="F60" i="14"/>
  <c r="F67" i="14" s="1"/>
  <c r="F68" i="14" s="1"/>
  <c r="E132" i="21" s="1"/>
  <c r="E60" i="14"/>
  <c r="E67" i="14" s="1"/>
  <c r="J12" i="20"/>
  <c r="J14" i="20" s="1"/>
  <c r="F40" i="17"/>
  <c r="J60" i="14"/>
  <c r="J67" i="14" s="1"/>
  <c r="E40" i="17"/>
  <c r="E48" i="17" s="1"/>
  <c r="G40" i="17"/>
  <c r="H40" i="17"/>
  <c r="H48" i="17" s="1"/>
  <c r="H49" i="17" s="1"/>
  <c r="G78" i="21" s="1"/>
  <c r="H60" i="14"/>
  <c r="H67" i="14" s="1"/>
  <c r="I60" i="14"/>
  <c r="I67" i="14" s="1"/>
  <c r="E40" i="18"/>
  <c r="E49" i="18"/>
  <c r="E50" i="18" s="1"/>
  <c r="D79" i="21" s="1"/>
  <c r="E76" i="18"/>
  <c r="E77" i="18" s="1"/>
  <c r="D135" i="21" s="1"/>
  <c r="E67" i="18"/>
  <c r="E69" i="18" s="1"/>
  <c r="F67" i="18"/>
  <c r="F69" i="18" s="1"/>
  <c r="F76" i="18"/>
  <c r="F77" i="18" s="1"/>
  <c r="E135" i="21" s="1"/>
  <c r="F10" i="18"/>
  <c r="F21" i="18" s="1"/>
  <c r="E10" i="18"/>
  <c r="E21" i="18" s="1"/>
  <c r="G10" i="18"/>
  <c r="G21" i="18" s="1"/>
  <c r="G12" i="18"/>
  <c r="G13" i="18" s="1"/>
  <c r="F12" i="18"/>
  <c r="F13" i="18" s="1"/>
  <c r="E12" i="18"/>
  <c r="E13" i="18" s="1"/>
  <c r="K59" i="14"/>
  <c r="K60" i="14" s="1"/>
  <c r="K67" i="14" s="1"/>
  <c r="G20" i="17"/>
  <c r="G12" i="17"/>
  <c r="G13" i="17" s="1"/>
  <c r="G21" i="17" s="1"/>
  <c r="I39" i="17"/>
  <c r="I40" i="17" s="1"/>
  <c r="K60" i="9"/>
  <c r="H60" i="9"/>
  <c r="H68" i="9" s="1"/>
  <c r="E63" i="12"/>
  <c r="E73" i="12" s="1"/>
  <c r="E69" i="12"/>
  <c r="J63" i="12"/>
  <c r="J73" i="12" s="1"/>
  <c r="J69" i="12"/>
  <c r="I63" i="17"/>
  <c r="I72" i="17" s="1"/>
  <c r="I69" i="17"/>
  <c r="I68" i="17" s="1"/>
  <c r="E63" i="17"/>
  <c r="E72" i="17" s="1"/>
  <c r="E69" i="17"/>
  <c r="E68" i="17" s="1"/>
  <c r="G69" i="17"/>
  <c r="G68" i="17" s="1"/>
  <c r="G63" i="17"/>
  <c r="G72" i="17" s="1"/>
  <c r="J60" i="9"/>
  <c r="J68" i="9" s="1"/>
  <c r="H63" i="12"/>
  <c r="H73" i="12" s="1"/>
  <c r="H69" i="12"/>
  <c r="E21" i="17"/>
  <c r="E22" i="17" s="1"/>
  <c r="D20" i="21" s="1"/>
  <c r="I63" i="12"/>
  <c r="I73" i="12" s="1"/>
  <c r="I69" i="12"/>
  <c r="I60" i="9"/>
  <c r="I68" i="9" s="1"/>
  <c r="E60" i="9"/>
  <c r="E68" i="9" s="1"/>
  <c r="J65" i="12"/>
  <c r="I65" i="12"/>
  <c r="H65" i="12"/>
  <c r="G65" i="12"/>
  <c r="E65" i="12"/>
  <c r="F65" i="12"/>
  <c r="F63" i="12"/>
  <c r="F73" i="12" s="1"/>
  <c r="F69" i="12"/>
  <c r="J65" i="17"/>
  <c r="G65" i="17"/>
  <c r="I65" i="17"/>
  <c r="H65" i="17"/>
  <c r="F65" i="17"/>
  <c r="E65" i="17"/>
  <c r="G60" i="9"/>
  <c r="G68" i="9" s="1"/>
  <c r="K63" i="12"/>
  <c r="K69" i="12"/>
  <c r="J63" i="17"/>
  <c r="J72" i="17" s="1"/>
  <c r="J69" i="17"/>
  <c r="J68" i="17" s="1"/>
  <c r="F63" i="17"/>
  <c r="F72" i="17" s="1"/>
  <c r="F69" i="17"/>
  <c r="F68" i="17" s="1"/>
  <c r="J12" i="17"/>
  <c r="G63" i="12"/>
  <c r="G73" i="12" s="1"/>
  <c r="G69" i="12"/>
  <c r="E62" i="9"/>
  <c r="E69" i="9" s="1"/>
  <c r="H62" i="9"/>
  <c r="H69" i="9" s="1"/>
  <c r="G62" i="9"/>
  <c r="G69" i="9" s="1"/>
  <c r="I62" i="9"/>
  <c r="I69" i="9" s="1"/>
  <c r="F62" i="9"/>
  <c r="F69" i="9" s="1"/>
  <c r="H63" i="17"/>
  <c r="H72" i="17" s="1"/>
  <c r="H69" i="17"/>
  <c r="H68" i="17" s="1"/>
  <c r="F60" i="9"/>
  <c r="F68" i="9" s="1"/>
  <c r="K63" i="17"/>
  <c r="K69" i="17"/>
  <c r="K68" i="17" s="1"/>
  <c r="L39" i="17"/>
  <c r="H40" i="12"/>
  <c r="H48" i="12" s="1"/>
  <c r="I38" i="12"/>
  <c r="I43" i="12"/>
  <c r="E10" i="14"/>
  <c r="I34" i="14"/>
  <c r="E34" i="14"/>
  <c r="E42" i="14" s="1"/>
  <c r="E38" i="12"/>
  <c r="E47" i="12" s="1"/>
  <c r="E43" i="12"/>
  <c r="E38" i="9"/>
  <c r="E45" i="9" s="1"/>
  <c r="F38" i="9"/>
  <c r="F45" i="9" s="1"/>
  <c r="H38" i="9"/>
  <c r="H45" i="9" s="1"/>
  <c r="G38" i="9"/>
  <c r="G45" i="9" s="1"/>
  <c r="H34" i="14"/>
  <c r="H42" i="14" s="1"/>
  <c r="H38" i="12"/>
  <c r="H47" i="12" s="1"/>
  <c r="H43" i="12"/>
  <c r="F36" i="9"/>
  <c r="F44" i="9" s="1"/>
  <c r="H36" i="14"/>
  <c r="G36" i="14"/>
  <c r="F36" i="14"/>
  <c r="E36" i="14"/>
  <c r="M59" i="14"/>
  <c r="G34" i="14"/>
  <c r="G42" i="14" s="1"/>
  <c r="G11" i="12"/>
  <c r="F11" i="12"/>
  <c r="F20" i="12" s="1"/>
  <c r="E36" i="9"/>
  <c r="E44" i="9" s="1"/>
  <c r="H36" i="9"/>
  <c r="H44" i="9" s="1"/>
  <c r="F34" i="14"/>
  <c r="F42" i="14" s="1"/>
  <c r="E11" i="12"/>
  <c r="E20" i="12" s="1"/>
  <c r="G38" i="12"/>
  <c r="G47" i="12" s="1"/>
  <c r="G43" i="12"/>
  <c r="G36" i="9"/>
  <c r="G44" i="9" s="1"/>
  <c r="F38" i="12"/>
  <c r="F47" i="12" s="1"/>
  <c r="F43" i="12"/>
  <c r="F10" i="14"/>
  <c r="I36" i="9"/>
  <c r="E13" i="12"/>
  <c r="F13" i="12"/>
  <c r="E40" i="12"/>
  <c r="F40" i="12"/>
  <c r="G40" i="12"/>
  <c r="F12" i="14"/>
  <c r="E12" i="14"/>
  <c r="G10" i="14"/>
  <c r="J62" i="9"/>
  <c r="E10" i="9"/>
  <c r="F10" i="9"/>
  <c r="F12" i="9"/>
  <c r="F19" i="9" s="1"/>
  <c r="G10" i="9"/>
  <c r="E81" i="31" l="1"/>
  <c r="F81" i="31"/>
  <c r="D81" i="31"/>
  <c r="E22" i="20"/>
  <c r="E23" i="20" s="1"/>
  <c r="D17" i="21" s="1"/>
  <c r="E57" i="22"/>
  <c r="D65" i="31"/>
  <c r="G67" i="25"/>
  <c r="G69" i="25" s="1"/>
  <c r="G70" i="25" s="1"/>
  <c r="F125" i="21" s="1"/>
  <c r="G21" i="25"/>
  <c r="G22" i="25" s="1"/>
  <c r="F22" i="21" s="1"/>
  <c r="F18" i="9"/>
  <c r="F20" i="9" s="1"/>
  <c r="E16" i="21" s="1"/>
  <c r="E65" i="31"/>
  <c r="E18" i="14"/>
  <c r="D62" i="31"/>
  <c r="E18" i="9"/>
  <c r="E20" i="9" s="1"/>
  <c r="D16" i="21" s="1"/>
  <c r="F62" i="31"/>
  <c r="F18" i="14"/>
  <c r="E62" i="31"/>
  <c r="H67" i="25"/>
  <c r="H69" i="25" s="1"/>
  <c r="H70" i="25" s="1"/>
  <c r="G125" i="21" s="1"/>
  <c r="F61" i="31"/>
  <c r="H74" i="25"/>
  <c r="G136" i="21" s="1"/>
  <c r="F74" i="25"/>
  <c r="E136" i="21" s="1"/>
  <c r="I67" i="25"/>
  <c r="I69" i="25" s="1"/>
  <c r="I70" i="25" s="1"/>
  <c r="H125" i="21" s="1"/>
  <c r="F22" i="20"/>
  <c r="F23" i="20" s="1"/>
  <c r="E17" i="21" s="1"/>
  <c r="I57" i="22"/>
  <c r="H126" i="21" s="1"/>
  <c r="F15" i="25"/>
  <c r="F17" i="25" s="1"/>
  <c r="F18" i="25" s="1"/>
  <c r="F19" i="25" s="1"/>
  <c r="I37" i="22"/>
  <c r="I38" i="22" s="1"/>
  <c r="G22" i="20"/>
  <c r="G23" i="20" s="1"/>
  <c r="F17" i="21" s="1"/>
  <c r="K65" i="25"/>
  <c r="O65" i="25"/>
  <c r="J65" i="25"/>
  <c r="L65" i="25"/>
  <c r="N65" i="25"/>
  <c r="M65" i="25"/>
  <c r="D125" i="21"/>
  <c r="E80" i="25"/>
  <c r="E71" i="25"/>
  <c r="F11" i="21"/>
  <c r="G19" i="25"/>
  <c r="N13" i="25"/>
  <c r="M13" i="25"/>
  <c r="L13" i="25"/>
  <c r="O13" i="25"/>
  <c r="J13" i="25"/>
  <c r="H13" i="25"/>
  <c r="I13" i="25"/>
  <c r="K13" i="25"/>
  <c r="D11" i="21"/>
  <c r="E19" i="25"/>
  <c r="E28" i="25"/>
  <c r="F69" i="25"/>
  <c r="F70" i="25" s="1"/>
  <c r="G76" i="20"/>
  <c r="G77" i="20" s="1"/>
  <c r="F131" i="21" s="1"/>
  <c r="K39" i="25"/>
  <c r="K41" i="25" s="1"/>
  <c r="M39" i="25"/>
  <c r="M41" i="25" s="1"/>
  <c r="J39" i="25"/>
  <c r="J41" i="25" s="1"/>
  <c r="O39" i="25"/>
  <c r="O41" i="25" s="1"/>
  <c r="N39" i="25"/>
  <c r="N41" i="25" s="1"/>
  <c r="L39" i="25"/>
  <c r="L41" i="25" s="1"/>
  <c r="H47" i="25"/>
  <c r="H48" i="25" s="1"/>
  <c r="G80" i="21" s="1"/>
  <c r="E47" i="25"/>
  <c r="E48" i="25" s="1"/>
  <c r="D80" i="21" s="1"/>
  <c r="I47" i="25"/>
  <c r="I48" i="25" s="1"/>
  <c r="H80" i="21" s="1"/>
  <c r="J46" i="25"/>
  <c r="K46" i="25"/>
  <c r="F47" i="25"/>
  <c r="F48" i="25" s="1"/>
  <c r="E80" i="21" s="1"/>
  <c r="G47" i="25"/>
  <c r="G48" i="25" s="1"/>
  <c r="F80" i="21" s="1"/>
  <c r="L46" i="25"/>
  <c r="F65" i="20"/>
  <c r="E65" i="20"/>
  <c r="D61" i="31" s="1"/>
  <c r="E74" i="20"/>
  <c r="E68" i="14"/>
  <c r="D132" i="21" s="1"/>
  <c r="J126" i="21"/>
  <c r="I76" i="20"/>
  <c r="I77" i="20" s="1"/>
  <c r="H131" i="21" s="1"/>
  <c r="K58" i="22"/>
  <c r="H70" i="21"/>
  <c r="H67" i="18"/>
  <c r="H69" i="18" s="1"/>
  <c r="H70" i="18" s="1"/>
  <c r="J65" i="22"/>
  <c r="G58" i="22"/>
  <c r="G65" i="22"/>
  <c r="I126" i="21"/>
  <c r="H65" i="22"/>
  <c r="G126" i="21"/>
  <c r="H58" i="22"/>
  <c r="D126" i="21"/>
  <c r="E65" i="22"/>
  <c r="E58" i="22"/>
  <c r="E38" i="22"/>
  <c r="D70" i="21"/>
  <c r="E45" i="22"/>
  <c r="F38" i="20"/>
  <c r="E61" i="31" s="1"/>
  <c r="H38" i="22"/>
  <c r="G70" i="21"/>
  <c r="F70" i="21"/>
  <c r="G45" i="22"/>
  <c r="G38" i="22"/>
  <c r="O57" i="22"/>
  <c r="N126" i="21" s="1"/>
  <c r="N57" i="22"/>
  <c r="N65" i="22" s="1"/>
  <c r="E126" i="21"/>
  <c r="F58" i="22"/>
  <c r="F65" i="22"/>
  <c r="F45" i="22"/>
  <c r="E70" i="21"/>
  <c r="F38" i="22"/>
  <c r="L57" i="22"/>
  <c r="L65" i="22" s="1"/>
  <c r="M57" i="22"/>
  <c r="L126" i="21" s="1"/>
  <c r="H83" i="20"/>
  <c r="G131" i="21"/>
  <c r="J76" i="20"/>
  <c r="J77" i="20" s="1"/>
  <c r="I131" i="21" s="1"/>
  <c r="E83" i="20"/>
  <c r="D131" i="21"/>
  <c r="F83" i="20"/>
  <c r="E131" i="21"/>
  <c r="E49" i="17"/>
  <c r="D78" i="21" s="1"/>
  <c r="H40" i="18"/>
  <c r="G68" i="14"/>
  <c r="F132" i="21" s="1"/>
  <c r="F49" i="18"/>
  <c r="F50" i="18" s="1"/>
  <c r="E79" i="21" s="1"/>
  <c r="G49" i="20"/>
  <c r="G50" i="20" s="1"/>
  <c r="F75" i="21" s="1"/>
  <c r="J68" i="14"/>
  <c r="I132" i="21" s="1"/>
  <c r="I40" i="18"/>
  <c r="H68" i="14"/>
  <c r="G132" i="21" s="1"/>
  <c r="H38" i="20"/>
  <c r="I76" i="18"/>
  <c r="I77" i="18" s="1"/>
  <c r="H135" i="21" s="1"/>
  <c r="G67" i="18"/>
  <c r="F65" i="31" s="1"/>
  <c r="K76" i="20"/>
  <c r="K77" i="20" s="1"/>
  <c r="J131" i="21" s="1"/>
  <c r="I49" i="20"/>
  <c r="I50" i="20" s="1"/>
  <c r="H75" i="21" s="1"/>
  <c r="K76" i="18"/>
  <c r="K77" i="18" s="1"/>
  <c r="J135" i="21" s="1"/>
  <c r="G49" i="18"/>
  <c r="G50" i="18" s="1"/>
  <c r="F79" i="21" s="1"/>
  <c r="H65" i="20"/>
  <c r="M66" i="18"/>
  <c r="M67" i="18" s="1"/>
  <c r="M69" i="18" s="1"/>
  <c r="M72" i="18" s="1"/>
  <c r="O66" i="18"/>
  <c r="O67" i="18" s="1"/>
  <c r="E17" i="22"/>
  <c r="D23" i="21" s="1"/>
  <c r="L66" i="18"/>
  <c r="L76" i="18" s="1"/>
  <c r="L77" i="18" s="1"/>
  <c r="K135" i="21" s="1"/>
  <c r="G17" i="22"/>
  <c r="F23" i="21" s="1"/>
  <c r="F17" i="22"/>
  <c r="E23" i="21" s="1"/>
  <c r="I68" i="14"/>
  <c r="H132" i="21" s="1"/>
  <c r="J76" i="18"/>
  <c r="J77" i="18" s="1"/>
  <c r="I135" i="21" s="1"/>
  <c r="G48" i="17"/>
  <c r="G49" i="17" s="1"/>
  <c r="F78" i="21" s="1"/>
  <c r="F48" i="17"/>
  <c r="F49" i="17" s="1"/>
  <c r="E78" i="21" s="1"/>
  <c r="N67" i="18"/>
  <c r="K70" i="18"/>
  <c r="K72" i="18"/>
  <c r="K71" i="18"/>
  <c r="J71" i="18"/>
  <c r="J72" i="18"/>
  <c r="J70" i="18"/>
  <c r="I71" i="18"/>
  <c r="I72" i="18"/>
  <c r="I70" i="18"/>
  <c r="F72" i="18"/>
  <c r="F70" i="18"/>
  <c r="F71" i="18"/>
  <c r="E71" i="18"/>
  <c r="E72" i="18"/>
  <c r="E70" i="18"/>
  <c r="K68" i="14"/>
  <c r="J132" i="21" s="1"/>
  <c r="G22" i="18"/>
  <c r="G23" i="18" s="1"/>
  <c r="F21" i="21" s="1"/>
  <c r="J11" i="18"/>
  <c r="E22" i="18"/>
  <c r="E23" i="18" s="1"/>
  <c r="D21" i="21" s="1"/>
  <c r="I11" i="18"/>
  <c r="F22" i="18"/>
  <c r="F23" i="18" s="1"/>
  <c r="E21" i="21" s="1"/>
  <c r="G22" i="17"/>
  <c r="F20" i="21" s="1"/>
  <c r="I48" i="17"/>
  <c r="I49" i="17" s="1"/>
  <c r="H78" i="21" s="1"/>
  <c r="I42" i="14"/>
  <c r="I35" i="14"/>
  <c r="I36" i="14" s="1"/>
  <c r="I43" i="14" s="1"/>
  <c r="K68" i="9"/>
  <c r="K61" i="9"/>
  <c r="K62" i="9" s="1"/>
  <c r="K69" i="9" s="1"/>
  <c r="G18" i="14"/>
  <c r="G11" i="14"/>
  <c r="G12" i="14" s="1"/>
  <c r="G19" i="14" s="1"/>
  <c r="G18" i="9"/>
  <c r="G11" i="9"/>
  <c r="G12" i="9" s="1"/>
  <c r="G19" i="9" s="1"/>
  <c r="G20" i="12"/>
  <c r="G12" i="12"/>
  <c r="G13" i="12" s="1"/>
  <c r="K73" i="12"/>
  <c r="K64" i="12"/>
  <c r="K65" i="12" s="1"/>
  <c r="K74" i="12" s="1"/>
  <c r="I44" i="9"/>
  <c r="I37" i="9"/>
  <c r="I38" i="9" s="1"/>
  <c r="I45" i="9" s="1"/>
  <c r="I47" i="12"/>
  <c r="I39" i="12"/>
  <c r="I40" i="12" s="1"/>
  <c r="I48" i="12" s="1"/>
  <c r="K72" i="17"/>
  <c r="K64" i="17"/>
  <c r="K65" i="17" s="1"/>
  <c r="I70" i="9"/>
  <c r="H130" i="21" s="1"/>
  <c r="F17" i="17"/>
  <c r="G17" i="17"/>
  <c r="E17" i="17"/>
  <c r="E16" i="17" s="1"/>
  <c r="N64" i="17"/>
  <c r="G74" i="12"/>
  <c r="G75" i="12" s="1"/>
  <c r="F133" i="21" s="1"/>
  <c r="E74" i="12"/>
  <c r="E75" i="12" s="1"/>
  <c r="D133" i="21" s="1"/>
  <c r="F73" i="17"/>
  <c r="F74" i="17" s="1"/>
  <c r="E134" i="21" s="1"/>
  <c r="H74" i="12"/>
  <c r="H75" i="12" s="1"/>
  <c r="G133" i="21" s="1"/>
  <c r="E70" i="9"/>
  <c r="D130" i="21" s="1"/>
  <c r="J73" i="17"/>
  <c r="J74" i="17" s="1"/>
  <c r="I134" i="21" s="1"/>
  <c r="I74" i="12"/>
  <c r="I75" i="12" s="1"/>
  <c r="H133" i="21" s="1"/>
  <c r="E73" i="17"/>
  <c r="E74" i="17" s="1"/>
  <c r="D134" i="21" s="1"/>
  <c r="F70" i="9"/>
  <c r="E130" i="21" s="1"/>
  <c r="H73" i="17"/>
  <c r="H74" i="17" s="1"/>
  <c r="G134" i="21" s="1"/>
  <c r="J74" i="12"/>
  <c r="J75" i="12" s="1"/>
  <c r="I133" i="21" s="1"/>
  <c r="H70" i="9"/>
  <c r="G130" i="21" s="1"/>
  <c r="G70" i="9"/>
  <c r="F130" i="21" s="1"/>
  <c r="I73" i="17"/>
  <c r="I74" i="17" s="1"/>
  <c r="H134" i="21" s="1"/>
  <c r="G73" i="17"/>
  <c r="G74" i="17" s="1"/>
  <c r="F134" i="21" s="1"/>
  <c r="F74" i="12"/>
  <c r="F75" i="12" s="1"/>
  <c r="E133" i="21" s="1"/>
  <c r="G46" i="9"/>
  <c r="F74" i="21" s="1"/>
  <c r="E46" i="9"/>
  <c r="D74" i="21" s="1"/>
  <c r="F46" i="9"/>
  <c r="E74" i="21" s="1"/>
  <c r="H46" i="9"/>
  <c r="G74" i="21" s="1"/>
  <c r="F48" i="12"/>
  <c r="F49" i="12" s="1"/>
  <c r="E77" i="21" s="1"/>
  <c r="G43" i="14"/>
  <c r="G44" i="14" s="1"/>
  <c r="F76" i="21" s="1"/>
  <c r="G48" i="12"/>
  <c r="G49" i="12" s="1"/>
  <c r="F77" i="21" s="1"/>
  <c r="E48" i="12"/>
  <c r="E49" i="12" s="1"/>
  <c r="D77" i="21" s="1"/>
  <c r="F21" i="12"/>
  <c r="F22" i="12" s="1"/>
  <c r="E19" i="21" s="1"/>
  <c r="H43" i="14"/>
  <c r="H44" i="14" s="1"/>
  <c r="G76" i="21" s="1"/>
  <c r="E21" i="12"/>
  <c r="E22" i="12" s="1"/>
  <c r="D19" i="21" s="1"/>
  <c r="E43" i="14"/>
  <c r="E44" i="14" s="1"/>
  <c r="D76" i="21" s="1"/>
  <c r="F19" i="14"/>
  <c r="E19" i="14"/>
  <c r="E20" i="14" s="1"/>
  <c r="D18" i="21" s="1"/>
  <c r="K35" i="14"/>
  <c r="H49" i="12"/>
  <c r="G77" i="21" s="1"/>
  <c r="I11" i="14"/>
  <c r="F43" i="14"/>
  <c r="F44" i="14" s="1"/>
  <c r="E76" i="21" s="1"/>
  <c r="J69" i="9"/>
  <c r="J70" i="9" s="1"/>
  <c r="I130" i="21" s="1"/>
  <c r="G28" i="25" l="1"/>
  <c r="I65" i="22"/>
  <c r="G80" i="25"/>
  <c r="I58" i="22"/>
  <c r="G71" i="25"/>
  <c r="F20" i="14"/>
  <c r="E18" i="21" s="1"/>
  <c r="E24" i="21" s="1"/>
  <c r="I80" i="25"/>
  <c r="H71" i="25"/>
  <c r="F28" i="25"/>
  <c r="H80" i="25"/>
  <c r="I71" i="25"/>
  <c r="E11" i="21"/>
  <c r="G83" i="20"/>
  <c r="E125" i="21"/>
  <c r="F80" i="25"/>
  <c r="F71" i="25"/>
  <c r="H15" i="25"/>
  <c r="H21" i="25"/>
  <c r="H22" i="25" s="1"/>
  <c r="G22" i="21" s="1"/>
  <c r="J15" i="25"/>
  <c r="J21" i="25"/>
  <c r="J22" i="25" s="1"/>
  <c r="I22" i="21" s="1"/>
  <c r="O15" i="25"/>
  <c r="O21" i="25"/>
  <c r="O22" i="25" s="1"/>
  <c r="N22" i="21" s="1"/>
  <c r="M73" i="25"/>
  <c r="M74" i="25" s="1"/>
  <c r="L136" i="21" s="1"/>
  <c r="M67" i="25"/>
  <c r="M69" i="25" s="1"/>
  <c r="M70" i="25" s="1"/>
  <c r="L15" i="25"/>
  <c r="L21" i="25"/>
  <c r="L22" i="25" s="1"/>
  <c r="K22" i="21" s="1"/>
  <c r="N73" i="25"/>
  <c r="N74" i="25" s="1"/>
  <c r="M136" i="21" s="1"/>
  <c r="N67" i="25"/>
  <c r="N69" i="25" s="1"/>
  <c r="N70" i="25" s="1"/>
  <c r="M15" i="25"/>
  <c r="M17" i="25" s="1"/>
  <c r="M18" i="25" s="1"/>
  <c r="M21" i="25"/>
  <c r="M22" i="25" s="1"/>
  <c r="L22" i="21" s="1"/>
  <c r="L73" i="25"/>
  <c r="L74" i="25" s="1"/>
  <c r="K136" i="21" s="1"/>
  <c r="L67" i="25"/>
  <c r="L69" i="25" s="1"/>
  <c r="L70" i="25" s="1"/>
  <c r="N21" i="25"/>
  <c r="N22" i="25" s="1"/>
  <c r="M22" i="21" s="1"/>
  <c r="N15" i="25"/>
  <c r="N17" i="25" s="1"/>
  <c r="N18" i="25" s="1"/>
  <c r="J73" i="25"/>
  <c r="J74" i="25" s="1"/>
  <c r="I136" i="21" s="1"/>
  <c r="I138" i="21" s="1"/>
  <c r="J67" i="25"/>
  <c r="J69" i="25" s="1"/>
  <c r="J70" i="25" s="1"/>
  <c r="K21" i="25"/>
  <c r="K22" i="25" s="1"/>
  <c r="J22" i="21" s="1"/>
  <c r="K15" i="25"/>
  <c r="O67" i="25"/>
  <c r="O69" i="25" s="1"/>
  <c r="O70" i="25" s="1"/>
  <c r="O73" i="25"/>
  <c r="O74" i="25" s="1"/>
  <c r="N136" i="21" s="1"/>
  <c r="I21" i="25"/>
  <c r="I22" i="25" s="1"/>
  <c r="H22" i="21" s="1"/>
  <c r="I15" i="25"/>
  <c r="K67" i="25"/>
  <c r="K69" i="25" s="1"/>
  <c r="K70" i="25" s="1"/>
  <c r="K73" i="25"/>
  <c r="K74" i="25" s="1"/>
  <c r="J136" i="21" s="1"/>
  <c r="H43" i="25"/>
  <c r="H42" i="25" s="1"/>
  <c r="H44" i="25" s="1"/>
  <c r="G69" i="21" s="1"/>
  <c r="E43" i="25"/>
  <c r="E42" i="25" s="1"/>
  <c r="E44" i="25" s="1"/>
  <c r="D69" i="21" s="1"/>
  <c r="F43" i="25"/>
  <c r="F42" i="25" s="1"/>
  <c r="F44" i="25" s="1"/>
  <c r="E69" i="21" s="1"/>
  <c r="I43" i="25"/>
  <c r="I42" i="25" s="1"/>
  <c r="I44" i="25" s="1"/>
  <c r="H69" i="21" s="1"/>
  <c r="G43" i="25"/>
  <c r="G42" i="25" s="1"/>
  <c r="G44" i="25" s="1"/>
  <c r="F69" i="21" s="1"/>
  <c r="H72" i="18"/>
  <c r="I83" i="20"/>
  <c r="H71" i="18"/>
  <c r="M126" i="21"/>
  <c r="M58" i="22"/>
  <c r="M65" i="22"/>
  <c r="K126" i="21"/>
  <c r="N58" i="22"/>
  <c r="L58" i="22"/>
  <c r="G138" i="21"/>
  <c r="O65" i="22"/>
  <c r="O58" i="22"/>
  <c r="E82" i="21"/>
  <c r="F82" i="21"/>
  <c r="M76" i="18"/>
  <c r="M77" i="18" s="1"/>
  <c r="L135" i="21" s="1"/>
  <c r="D82" i="21"/>
  <c r="D138" i="21"/>
  <c r="M71" i="18"/>
  <c r="M70" i="18"/>
  <c r="E138" i="21"/>
  <c r="H138" i="21"/>
  <c r="G82" i="21"/>
  <c r="F138" i="21"/>
  <c r="D24" i="21"/>
  <c r="O69" i="18"/>
  <c r="O72" i="18" s="1"/>
  <c r="G69" i="18"/>
  <c r="N69" i="18"/>
  <c r="N71" i="18" s="1"/>
  <c r="O76" i="18"/>
  <c r="O77" i="18" s="1"/>
  <c r="N135" i="21" s="1"/>
  <c r="L67" i="18"/>
  <c r="G21" i="12"/>
  <c r="G22" i="12" s="1"/>
  <c r="F19" i="21" s="1"/>
  <c r="E73" i="18"/>
  <c r="K73" i="18"/>
  <c r="I73" i="18"/>
  <c r="J73" i="18"/>
  <c r="F73" i="18"/>
  <c r="K70" i="9"/>
  <c r="J130" i="21" s="1"/>
  <c r="K73" i="17"/>
  <c r="K74" i="17" s="1"/>
  <c r="J134" i="21" s="1"/>
  <c r="K75" i="12"/>
  <c r="J133" i="21" s="1"/>
  <c r="I44" i="14"/>
  <c r="H76" i="21" s="1"/>
  <c r="I49" i="12"/>
  <c r="H77" i="21" s="1"/>
  <c r="G20" i="9"/>
  <c r="F16" i="21" s="1"/>
  <c r="I46" i="9"/>
  <c r="H74" i="21" s="1"/>
  <c r="G20" i="14"/>
  <c r="F18" i="21" s="1"/>
  <c r="G16" i="17"/>
  <c r="F16" i="17"/>
  <c r="H17" i="25" l="1"/>
  <c r="H18" i="25" s="1"/>
  <c r="J125" i="21"/>
  <c r="K80" i="25"/>
  <c r="K71" i="25"/>
  <c r="M125" i="21"/>
  <c r="N80" i="25"/>
  <c r="N71" i="25"/>
  <c r="O17" i="25"/>
  <c r="O18" i="25" s="1"/>
  <c r="I17" i="25"/>
  <c r="I18" i="25" s="1"/>
  <c r="M11" i="21"/>
  <c r="N19" i="25"/>
  <c r="N28" i="25"/>
  <c r="J17" i="25"/>
  <c r="J18" i="25" s="1"/>
  <c r="K125" i="21"/>
  <c r="L80" i="25"/>
  <c r="L71" i="25"/>
  <c r="L17" i="25"/>
  <c r="L18" i="25" s="1"/>
  <c r="N125" i="21"/>
  <c r="O71" i="25"/>
  <c r="O77" i="25"/>
  <c r="O78" i="25" s="1"/>
  <c r="K17" i="25"/>
  <c r="K18" i="25" s="1"/>
  <c r="L125" i="21"/>
  <c r="M80" i="25"/>
  <c r="M71" i="25"/>
  <c r="I125" i="21"/>
  <c r="J80" i="25"/>
  <c r="J71" i="25"/>
  <c r="L11" i="21"/>
  <c r="M28" i="25"/>
  <c r="M19" i="25"/>
  <c r="I45" i="25"/>
  <c r="I54" i="25"/>
  <c r="G45" i="25"/>
  <c r="G54" i="25"/>
  <c r="F45" i="25"/>
  <c r="F54" i="25"/>
  <c r="E54" i="25"/>
  <c r="E45" i="25"/>
  <c r="H54" i="25"/>
  <c r="H45" i="25"/>
  <c r="O47" i="25"/>
  <c r="O48" i="25" s="1"/>
  <c r="N80" i="21" s="1"/>
  <c r="J47" i="25"/>
  <c r="J48" i="25" s="1"/>
  <c r="I80" i="21" s="1"/>
  <c r="K47" i="25"/>
  <c r="K48" i="25" s="1"/>
  <c r="J80" i="21" s="1"/>
  <c r="L47" i="25"/>
  <c r="L48" i="25" s="1"/>
  <c r="K80" i="21" s="1"/>
  <c r="M47" i="25"/>
  <c r="M48" i="25" s="1"/>
  <c r="L80" i="21" s="1"/>
  <c r="N47" i="25"/>
  <c r="N48" i="25" s="1"/>
  <c r="M80" i="21" s="1"/>
  <c r="H73" i="18"/>
  <c r="G124" i="21" s="1"/>
  <c r="O71" i="18"/>
  <c r="M73" i="18"/>
  <c r="L124" i="21" s="1"/>
  <c r="H82" i="21"/>
  <c r="F83" i="18"/>
  <c r="E124" i="21"/>
  <c r="J74" i="18"/>
  <c r="I124" i="21"/>
  <c r="F24" i="21"/>
  <c r="I83" i="18"/>
  <c r="H124" i="21"/>
  <c r="K83" i="18"/>
  <c r="J124" i="21"/>
  <c r="E83" i="18"/>
  <c r="D124" i="21"/>
  <c r="J138" i="21"/>
  <c r="N72" i="18"/>
  <c r="N70" i="18"/>
  <c r="L69" i="18"/>
  <c r="G70" i="18"/>
  <c r="G72" i="18"/>
  <c r="G71" i="18"/>
  <c r="O70" i="18"/>
  <c r="E14" i="22"/>
  <c r="F14" i="22"/>
  <c r="G14" i="22"/>
  <c r="E74" i="18"/>
  <c r="J83" i="18"/>
  <c r="F74" i="18"/>
  <c r="K74" i="18"/>
  <c r="I74" i="18"/>
  <c r="H83" i="18" l="1"/>
  <c r="H11" i="21"/>
  <c r="I19" i="25"/>
  <c r="I28" i="25"/>
  <c r="I11" i="21"/>
  <c r="J28" i="25"/>
  <c r="J19" i="25"/>
  <c r="N11" i="21"/>
  <c r="O19" i="25"/>
  <c r="O25" i="25"/>
  <c r="O26" i="25" s="1"/>
  <c r="K11" i="21"/>
  <c r="L19" i="25"/>
  <c r="L28" i="25"/>
  <c r="J11" i="21"/>
  <c r="K19" i="25"/>
  <c r="K28" i="25"/>
  <c r="G11" i="21"/>
  <c r="H19" i="25"/>
  <c r="H28" i="25"/>
  <c r="O80" i="25"/>
  <c r="D80" i="25" s="1"/>
  <c r="N147" i="21"/>
  <c r="J43" i="25"/>
  <c r="J42" i="25" s="1"/>
  <c r="J44" i="25" s="1"/>
  <c r="I69" i="21" s="1"/>
  <c r="L43" i="25"/>
  <c r="L42" i="25" s="1"/>
  <c r="L44" i="25" s="1"/>
  <c r="K69" i="21" s="1"/>
  <c r="O43" i="25"/>
  <c r="O42" i="25" s="1"/>
  <c r="O44" i="25" s="1"/>
  <c r="N69" i="21" s="1"/>
  <c r="N43" i="25"/>
  <c r="N42" i="25" s="1"/>
  <c r="N44" i="25" s="1"/>
  <c r="M69" i="21" s="1"/>
  <c r="K43" i="25"/>
  <c r="K42" i="25" s="1"/>
  <c r="K44" i="25" s="1"/>
  <c r="J69" i="21" s="1"/>
  <c r="M43" i="25"/>
  <c r="M42" i="25" s="1"/>
  <c r="M44" i="25" s="1"/>
  <c r="L69" i="21" s="1"/>
  <c r="M83" i="18"/>
  <c r="M74" i="18"/>
  <c r="H74" i="18"/>
  <c r="O73" i="18"/>
  <c r="O74" i="18" s="1"/>
  <c r="N73" i="18"/>
  <c r="N83" i="18" s="1"/>
  <c r="F12" i="21"/>
  <c r="F20" i="31" s="1"/>
  <c r="F15" i="22"/>
  <c r="E12" i="21"/>
  <c r="E20" i="31" s="1"/>
  <c r="D12" i="21"/>
  <c r="D20" i="31" s="1"/>
  <c r="G73" i="18"/>
  <c r="F124" i="21" s="1"/>
  <c r="L70" i="18"/>
  <c r="L71" i="18"/>
  <c r="L72" i="18"/>
  <c r="E15" i="22"/>
  <c r="G15" i="22"/>
  <c r="E26" i="4"/>
  <c r="C25" i="4"/>
  <c r="AC2" i="2"/>
  <c r="H3" i="2"/>
  <c r="G3" i="2"/>
  <c r="F3" i="2"/>
  <c r="AC21" i="2"/>
  <c r="I17" i="2"/>
  <c r="J17" i="2"/>
  <c r="K17" i="2"/>
  <c r="N17" i="2"/>
  <c r="R17" i="2"/>
  <c r="X17" i="2"/>
  <c r="Y17" i="2"/>
  <c r="Z17" i="2"/>
  <c r="AA17" i="2"/>
  <c r="AB17" i="2"/>
  <c r="O19" i="2"/>
  <c r="R24" i="2"/>
  <c r="R22" i="2" s="1"/>
  <c r="N23" i="2"/>
  <c r="N22" i="2" s="1"/>
  <c r="AC22" i="2" s="1"/>
  <c r="P20" i="2"/>
  <c r="M20" i="2"/>
  <c r="B20" i="2" s="1"/>
  <c r="T16" i="2"/>
  <c r="T17" i="2" s="1"/>
  <c r="S16" i="2"/>
  <c r="Q16" i="2"/>
  <c r="Q17" i="2" s="1"/>
  <c r="P16" i="2"/>
  <c r="P17" i="2" s="1"/>
  <c r="O16" i="2"/>
  <c r="M16" i="2"/>
  <c r="M17" i="2" s="1"/>
  <c r="L16" i="2"/>
  <c r="H16" i="2"/>
  <c r="H17" i="2" s="1"/>
  <c r="G16" i="2"/>
  <c r="G17" i="2" s="1"/>
  <c r="F16" i="2"/>
  <c r="E16" i="2"/>
  <c r="T15" i="2"/>
  <c r="S15" i="2"/>
  <c r="AE15" i="2" s="1"/>
  <c r="O15" i="2"/>
  <c r="L15" i="2"/>
  <c r="K15" i="2"/>
  <c r="H15" i="2"/>
  <c r="G15" i="2"/>
  <c r="F15" i="2"/>
  <c r="E15" i="2"/>
  <c r="D10" i="2" l="1"/>
  <c r="F60" i="31"/>
  <c r="D60" i="31"/>
  <c r="E60" i="31"/>
  <c r="O28" i="25"/>
  <c r="D28" i="25" s="1"/>
  <c r="N33" i="21"/>
  <c r="M54" i="25"/>
  <c r="M45" i="25"/>
  <c r="N45" i="25"/>
  <c r="N54" i="25"/>
  <c r="K45" i="25"/>
  <c r="K54" i="25"/>
  <c r="O45" i="25"/>
  <c r="O51" i="25"/>
  <c r="O52" i="25" s="1"/>
  <c r="L45" i="25"/>
  <c r="L54" i="25"/>
  <c r="J45" i="25"/>
  <c r="J54" i="25"/>
  <c r="N124" i="21"/>
  <c r="O80" i="18"/>
  <c r="O81" i="18" s="1"/>
  <c r="O83" i="18" s="1"/>
  <c r="N74" i="18"/>
  <c r="B15" i="2"/>
  <c r="H10" i="12" s="1"/>
  <c r="G74" i="31" s="1"/>
  <c r="AJ15" i="2"/>
  <c r="K58" i="12" s="1"/>
  <c r="M124" i="21"/>
  <c r="AC3" i="2"/>
  <c r="L73" i="18"/>
  <c r="K124" i="21" s="1"/>
  <c r="G83" i="18"/>
  <c r="G74" i="18"/>
  <c r="AG19" i="2"/>
  <c r="AK19" i="2"/>
  <c r="S17" i="2"/>
  <c r="AE16" i="2"/>
  <c r="AE25" i="2" s="1"/>
  <c r="M64" i="4"/>
  <c r="O9" i="18"/>
  <c r="M9" i="18"/>
  <c r="J9" i="18"/>
  <c r="L9" i="18"/>
  <c r="I9" i="18"/>
  <c r="N9" i="18"/>
  <c r="H9" i="18"/>
  <c r="K9" i="18"/>
  <c r="L17" i="2"/>
  <c r="D16" i="2"/>
  <c r="AG16" i="2"/>
  <c r="C16" i="2"/>
  <c r="AK16" i="2"/>
  <c r="C15" i="2"/>
  <c r="AK15" i="2"/>
  <c r="AG15" i="2"/>
  <c r="C20" i="2"/>
  <c r="AG20" i="2"/>
  <c r="AK20" i="2"/>
  <c r="E17" i="2"/>
  <c r="B16" i="2"/>
  <c r="AJ16" i="2"/>
  <c r="K58" i="17" s="1"/>
  <c r="I10" i="12"/>
  <c r="H74" i="31" s="1"/>
  <c r="K10" i="12"/>
  <c r="N10" i="12"/>
  <c r="AF20" i="2"/>
  <c r="D38" i="14"/>
  <c r="E25" i="4"/>
  <c r="AC23" i="2"/>
  <c r="AL23" i="2" s="1"/>
  <c r="C23" i="2"/>
  <c r="D15" i="2"/>
  <c r="D25" i="2" s="1"/>
  <c r="AC19" i="2"/>
  <c r="C19" i="2"/>
  <c r="AC24" i="2"/>
  <c r="AL24" i="2" s="1"/>
  <c r="B24" i="2"/>
  <c r="D17" i="2"/>
  <c r="AJ17" i="2" s="1"/>
  <c r="D13" i="2"/>
  <c r="AJ13" i="2" s="1"/>
  <c r="AC20" i="2"/>
  <c r="C47" i="4" s="1"/>
  <c r="C49" i="4" s="1"/>
  <c r="C51" i="4" s="1"/>
  <c r="AC15" i="2"/>
  <c r="AC16" i="2"/>
  <c r="O17" i="2"/>
  <c r="F18" i="2"/>
  <c r="AK8" i="1"/>
  <c r="AK9" i="1"/>
  <c r="AK10" i="1"/>
  <c r="AK11" i="1"/>
  <c r="AK12" i="1"/>
  <c r="AN12" i="1" s="1"/>
  <c r="AK13" i="1"/>
  <c r="AK14" i="1"/>
  <c r="AN14" i="1" s="1"/>
  <c r="AK15" i="1"/>
  <c r="AK16" i="1"/>
  <c r="AK17" i="1"/>
  <c r="AK7" i="1"/>
  <c r="AQ23" i="1"/>
  <c r="AQ26" i="1"/>
  <c r="AO7" i="1"/>
  <c r="AP7" i="1" s="1"/>
  <c r="AN8" i="1"/>
  <c r="AN9" i="1"/>
  <c r="AN10" i="1"/>
  <c r="AN11" i="1"/>
  <c r="AN13" i="1"/>
  <c r="AN15" i="1"/>
  <c r="AN16" i="1"/>
  <c r="AN17" i="1"/>
  <c r="AN7" i="1"/>
  <c r="AM8" i="1"/>
  <c r="AM9" i="1"/>
  <c r="AM10" i="1"/>
  <c r="AM11" i="1"/>
  <c r="AM12" i="1"/>
  <c r="AM13" i="1"/>
  <c r="AM14" i="1"/>
  <c r="AM15" i="1"/>
  <c r="AM16" i="1"/>
  <c r="AM17" i="1"/>
  <c r="AM7" i="1"/>
  <c r="AA41" i="1"/>
  <c r="Y41" i="1"/>
  <c r="AA36" i="1"/>
  <c r="Z36" i="1"/>
  <c r="AF9" i="1"/>
  <c r="AA31" i="1"/>
  <c r="AA32" i="1"/>
  <c r="AA30" i="1"/>
  <c r="Z31" i="1"/>
  <c r="Y31" i="1"/>
  <c r="W30" i="1"/>
  <c r="AA26" i="1"/>
  <c r="AA27" i="1"/>
  <c r="AA25" i="1"/>
  <c r="W27" i="1"/>
  <c r="X27" i="1"/>
  <c r="AC9" i="1"/>
  <c r="AC8" i="1"/>
  <c r="AC7" i="1"/>
  <c r="AB8" i="1"/>
  <c r="AB9" i="1"/>
  <c r="AB7" i="1"/>
  <c r="AA9" i="1"/>
  <c r="AA8" i="1"/>
  <c r="AA7" i="1"/>
  <c r="Z9" i="1"/>
  <c r="Z8" i="1"/>
  <c r="Z7" i="1"/>
  <c r="Y9" i="1"/>
  <c r="Y8" i="1"/>
  <c r="Y7" i="1"/>
  <c r="V9" i="1"/>
  <c r="V7" i="1"/>
  <c r="H10" i="18" l="1"/>
  <c r="H11" i="18" s="1"/>
  <c r="G77" i="31"/>
  <c r="N10" i="18"/>
  <c r="N21" i="18" s="1"/>
  <c r="I10" i="18"/>
  <c r="I21" i="18" s="1"/>
  <c r="H77" i="31"/>
  <c r="L10" i="18"/>
  <c r="L21" i="18" s="1"/>
  <c r="J10" i="18"/>
  <c r="J21" i="18" s="1"/>
  <c r="K10" i="18"/>
  <c r="K21" i="18" s="1"/>
  <c r="M10" i="18"/>
  <c r="M21" i="18" s="1"/>
  <c r="O10" i="18"/>
  <c r="O21" i="18" s="1"/>
  <c r="O54" i="25"/>
  <c r="D54" i="25" s="1"/>
  <c r="N91" i="21"/>
  <c r="N146" i="21"/>
  <c r="M63" i="4"/>
  <c r="O10" i="12"/>
  <c r="L10" i="12"/>
  <c r="L37" i="12"/>
  <c r="L44" i="12" s="1"/>
  <c r="L43" i="12" s="1"/>
  <c r="J10" i="12"/>
  <c r="M10" i="12"/>
  <c r="AF15" i="2"/>
  <c r="K5" i="12" s="1"/>
  <c r="D27" i="12" s="1"/>
  <c r="AH20" i="2"/>
  <c r="K32" i="18" s="1"/>
  <c r="D42" i="18" s="1"/>
  <c r="D78" i="12"/>
  <c r="D68" i="12"/>
  <c r="D77" i="12"/>
  <c r="K77" i="12" s="1"/>
  <c r="K79" i="12" s="1"/>
  <c r="B22" i="2"/>
  <c r="O9" i="22" s="1"/>
  <c r="AF24" i="2"/>
  <c r="L83" i="18"/>
  <c r="D83" i="18" s="1"/>
  <c r="O37" i="12"/>
  <c r="O44" i="12" s="1"/>
  <c r="O43" i="12" s="1"/>
  <c r="AH15" i="2"/>
  <c r="K33" i="12" s="1"/>
  <c r="D52" i="12" s="1"/>
  <c r="J37" i="12"/>
  <c r="J44" i="12" s="1"/>
  <c r="J43" i="12" s="1"/>
  <c r="N63" i="4"/>
  <c r="AL16" i="2"/>
  <c r="N37" i="12"/>
  <c r="N44" i="12" s="1"/>
  <c r="N43" i="12" s="1"/>
  <c r="K5" i="18"/>
  <c r="D25" i="18" s="1"/>
  <c r="K5" i="22"/>
  <c r="K37" i="12"/>
  <c r="K44" i="12" s="1"/>
  <c r="K43" i="12" s="1"/>
  <c r="AL15" i="2"/>
  <c r="AC26" i="2"/>
  <c r="M37" i="12"/>
  <c r="M44" i="12" s="1"/>
  <c r="M43" i="12" s="1"/>
  <c r="AH23" i="2"/>
  <c r="C22" i="2"/>
  <c r="C25" i="2" s="1"/>
  <c r="L74" i="18"/>
  <c r="I11" i="12"/>
  <c r="I17" i="12"/>
  <c r="N11" i="12"/>
  <c r="N20" i="12" s="1"/>
  <c r="N17" i="12"/>
  <c r="H11" i="12"/>
  <c r="H17" i="12"/>
  <c r="K11" i="12"/>
  <c r="K20" i="12" s="1"/>
  <c r="K17" i="12"/>
  <c r="D76" i="17"/>
  <c r="K76" i="17" s="1"/>
  <c r="K78" i="17" s="1"/>
  <c r="J145" i="21" s="1"/>
  <c r="D77" i="17"/>
  <c r="D67" i="17"/>
  <c r="H21" i="18"/>
  <c r="M65" i="4"/>
  <c r="H10" i="17"/>
  <c r="N10" i="17"/>
  <c r="K10" i="17"/>
  <c r="O10" i="17"/>
  <c r="J10" i="17"/>
  <c r="I10" i="17"/>
  <c r="L10" i="17"/>
  <c r="M10" i="17"/>
  <c r="N65" i="4"/>
  <c r="J37" i="17"/>
  <c r="M37" i="17"/>
  <c r="K37" i="17"/>
  <c r="O37" i="17"/>
  <c r="N37" i="17"/>
  <c r="L37" i="17"/>
  <c r="AF16" i="2"/>
  <c r="K5" i="17" s="1"/>
  <c r="AL19" i="2"/>
  <c r="E42" i="4"/>
  <c r="D15" i="18"/>
  <c r="AL20" i="2"/>
  <c r="AH16" i="2"/>
  <c r="J79" i="20"/>
  <c r="J81" i="20" s="1"/>
  <c r="M63" i="20"/>
  <c r="M64" i="20" s="1"/>
  <c r="K79" i="20"/>
  <c r="K81" i="20" s="1"/>
  <c r="O63" i="20"/>
  <c r="O64" i="20" s="1"/>
  <c r="O75" i="20" s="1"/>
  <c r="N63" i="20"/>
  <c r="N64" i="20" s="1"/>
  <c r="N75" i="20" s="1"/>
  <c r="L63" i="20"/>
  <c r="L64" i="20" s="1"/>
  <c r="N64" i="4"/>
  <c r="M36" i="18"/>
  <c r="M37" i="18" s="1"/>
  <c r="M48" i="18" s="1"/>
  <c r="J36" i="18"/>
  <c r="J37" i="18" s="1"/>
  <c r="L36" i="18"/>
  <c r="L37" i="18" s="1"/>
  <c r="L48" i="18" s="1"/>
  <c r="N36" i="18"/>
  <c r="N37" i="18" s="1"/>
  <c r="N48" i="18" s="1"/>
  <c r="K36" i="18"/>
  <c r="K37" i="18" s="1"/>
  <c r="K48" i="18" s="1"/>
  <c r="O36" i="18"/>
  <c r="O37" i="18" s="1"/>
  <c r="O48" i="18" s="1"/>
  <c r="O65" i="4"/>
  <c r="M62" i="17"/>
  <c r="O62" i="17"/>
  <c r="L62" i="17"/>
  <c r="N62" i="17"/>
  <c r="O62" i="12"/>
  <c r="O70" i="12" s="1"/>
  <c r="L62" i="12"/>
  <c r="L70" i="12" s="1"/>
  <c r="M62" i="12"/>
  <c r="M70" i="12" s="1"/>
  <c r="O63" i="4"/>
  <c r="N62" i="12"/>
  <c r="N70" i="12" s="1"/>
  <c r="D15" i="12"/>
  <c r="D26" i="12"/>
  <c r="G38" i="14"/>
  <c r="G40" i="14" s="1"/>
  <c r="F65" i="21" s="1"/>
  <c r="E38" i="14"/>
  <c r="E40" i="14" s="1"/>
  <c r="F38" i="14"/>
  <c r="F40" i="14" s="1"/>
  <c r="E65" i="21" s="1"/>
  <c r="H38" i="14"/>
  <c r="H40" i="14" s="1"/>
  <c r="I38" i="14"/>
  <c r="I40" i="14" s="1"/>
  <c r="C17" i="2"/>
  <c r="AK17" i="2"/>
  <c r="AG17" i="2"/>
  <c r="AG25" i="2" s="1"/>
  <c r="D14" i="2"/>
  <c r="AJ14" i="2" s="1"/>
  <c r="K53" i="14" s="1"/>
  <c r="B13" i="2"/>
  <c r="B14" i="2"/>
  <c r="C13" i="2"/>
  <c r="C12" i="2"/>
  <c r="C14" i="2"/>
  <c r="AC18" i="2"/>
  <c r="B18" i="2"/>
  <c r="AF18" i="2" s="1"/>
  <c r="AC13" i="2"/>
  <c r="G28" i="4" s="1"/>
  <c r="H28" i="4" s="1"/>
  <c r="AC14" i="2"/>
  <c r="G26" i="4" s="1"/>
  <c r="H26" i="4" s="1"/>
  <c r="F17" i="2"/>
  <c r="X16" i="1"/>
  <c r="U9" i="1"/>
  <c r="U13" i="1"/>
  <c r="U7" i="1"/>
  <c r="T9" i="1"/>
  <c r="T8" i="1"/>
  <c r="S15" i="1"/>
  <c r="I9" i="1"/>
  <c r="I8" i="1"/>
  <c r="I7" i="1"/>
  <c r="E9" i="1"/>
  <c r="E8" i="1"/>
  <c r="E7" i="1"/>
  <c r="D9" i="1"/>
  <c r="D8" i="1"/>
  <c r="D7" i="1"/>
  <c r="C9" i="1"/>
  <c r="C8" i="1"/>
  <c r="C7" i="1"/>
  <c r="B9" i="1"/>
  <c r="B8" i="1"/>
  <c r="B7" i="1"/>
  <c r="R13" i="1"/>
  <c r="Q9" i="1"/>
  <c r="Q13" i="1"/>
  <c r="P9" i="1"/>
  <c r="P7" i="1"/>
  <c r="O9" i="1"/>
  <c r="O7" i="1"/>
  <c r="N14" i="1"/>
  <c r="N9" i="1"/>
  <c r="N7" i="1"/>
  <c r="M8" i="1"/>
  <c r="L9" i="1"/>
  <c r="L13" i="1"/>
  <c r="K9" i="1"/>
  <c r="K7" i="1"/>
  <c r="K8" i="1"/>
  <c r="J9" i="1"/>
  <c r="J7" i="1"/>
  <c r="H8" i="1"/>
  <c r="F10" i="1"/>
  <c r="G8" i="1"/>
  <c r="F8" i="1"/>
  <c r="J77" i="12" l="1"/>
  <c r="J79" i="12" s="1"/>
  <c r="L77" i="31"/>
  <c r="O17" i="12"/>
  <c r="N74" i="31"/>
  <c r="I11" i="17"/>
  <c r="H75" i="31"/>
  <c r="L11" i="17"/>
  <c r="L20" i="17" s="1"/>
  <c r="K75" i="31"/>
  <c r="J11" i="17"/>
  <c r="I75" i="31"/>
  <c r="J77" i="31"/>
  <c r="O11" i="17"/>
  <c r="N75" i="31"/>
  <c r="J74" i="31"/>
  <c r="K11" i="17"/>
  <c r="J75" i="31"/>
  <c r="I77" i="31"/>
  <c r="M77" i="31"/>
  <c r="M11" i="12"/>
  <c r="M20" i="12" s="1"/>
  <c r="L74" i="31"/>
  <c r="N11" i="17"/>
  <c r="M75" i="31"/>
  <c r="J11" i="12"/>
  <c r="J12" i="12" s="1"/>
  <c r="I74" i="31"/>
  <c r="N77" i="31"/>
  <c r="H11" i="17"/>
  <c r="G75" i="31"/>
  <c r="K77" i="31"/>
  <c r="M11" i="17"/>
  <c r="L75" i="31"/>
  <c r="L11" i="12"/>
  <c r="L20" i="12" s="1"/>
  <c r="K74" i="31"/>
  <c r="M74" i="31"/>
  <c r="L38" i="12"/>
  <c r="O11" i="12"/>
  <c r="O20" i="12" s="1"/>
  <c r="L17" i="12"/>
  <c r="K9" i="22"/>
  <c r="D52" i="18"/>
  <c r="H52" i="18" s="1"/>
  <c r="H54" i="18" s="1"/>
  <c r="G90" i="21" s="1"/>
  <c r="D53" i="18"/>
  <c r="K33" i="17"/>
  <c r="D52" i="17" s="1"/>
  <c r="L9" i="22"/>
  <c r="B25" i="2"/>
  <c r="C26" i="2" s="1"/>
  <c r="J38" i="12"/>
  <c r="J47" i="12" s="1"/>
  <c r="J17" i="12"/>
  <c r="M17" i="12"/>
  <c r="AD22" i="2"/>
  <c r="AM21" i="2"/>
  <c r="AM22" i="2"/>
  <c r="AM20" i="2"/>
  <c r="AM15" i="2"/>
  <c r="AM11" i="2"/>
  <c r="M9" i="22"/>
  <c r="K38" i="12"/>
  <c r="K47" i="12" s="1"/>
  <c r="I9" i="22"/>
  <c r="N9" i="22"/>
  <c r="J9" i="22"/>
  <c r="O38" i="12"/>
  <c r="O47" i="12" s="1"/>
  <c r="H9" i="22"/>
  <c r="M38" i="12"/>
  <c r="M47" i="12" s="1"/>
  <c r="F68" i="12"/>
  <c r="F71" i="12" s="1"/>
  <c r="H68" i="12"/>
  <c r="H71" i="12" s="1"/>
  <c r="J68" i="12"/>
  <c r="J71" i="12" s="1"/>
  <c r="J81" i="12" s="1"/>
  <c r="G68" i="12"/>
  <c r="G71" i="12" s="1"/>
  <c r="E68" i="12"/>
  <c r="E71" i="12" s="1"/>
  <c r="I68" i="12"/>
  <c r="I71" i="12" s="1"/>
  <c r="K68" i="12"/>
  <c r="K71" i="12" s="1"/>
  <c r="K81" i="12" s="1"/>
  <c r="AK25" i="2"/>
  <c r="AL25" i="2" s="1"/>
  <c r="D71" i="14"/>
  <c r="D70" i="14"/>
  <c r="K70" i="14" s="1"/>
  <c r="K72" i="14" s="1"/>
  <c r="D62" i="14"/>
  <c r="E77" i="12"/>
  <c r="E79" i="12" s="1"/>
  <c r="D144" i="21" s="1"/>
  <c r="N77" i="12"/>
  <c r="N79" i="12" s="1"/>
  <c r="M144" i="21" s="1"/>
  <c r="H77" i="12"/>
  <c r="H79" i="12" s="1"/>
  <c r="G144" i="21" s="1"/>
  <c r="O77" i="12"/>
  <c r="G77" i="12"/>
  <c r="G79" i="12" s="1"/>
  <c r="F144" i="21" s="1"/>
  <c r="L77" i="12"/>
  <c r="L79" i="12" s="1"/>
  <c r="K144" i="21" s="1"/>
  <c r="I77" i="12"/>
  <c r="I79" i="12" s="1"/>
  <c r="H144" i="21" s="1"/>
  <c r="M77" i="12"/>
  <c r="M79" i="12" s="1"/>
  <c r="L144" i="21" s="1"/>
  <c r="F77" i="12"/>
  <c r="F79" i="12" s="1"/>
  <c r="E144" i="21" s="1"/>
  <c r="J76" i="17"/>
  <c r="J78" i="17" s="1"/>
  <c r="I145" i="21" s="1"/>
  <c r="D26" i="18"/>
  <c r="M32" i="22"/>
  <c r="L32" i="22"/>
  <c r="O32" i="22"/>
  <c r="N80" i="31" s="1"/>
  <c r="J32" i="22"/>
  <c r="N32" i="22"/>
  <c r="K32" i="22"/>
  <c r="H42" i="22"/>
  <c r="H43" i="22" s="1"/>
  <c r="I42" i="22"/>
  <c r="I43" i="22" s="1"/>
  <c r="N38" i="12"/>
  <c r="N47" i="12" s="1"/>
  <c r="J83" i="20"/>
  <c r="I142" i="21"/>
  <c r="I16" i="22"/>
  <c r="I17" i="22" s="1"/>
  <c r="H23" i="21" s="1"/>
  <c r="I41" i="14"/>
  <c r="H65" i="21"/>
  <c r="I144" i="21"/>
  <c r="G42" i="18"/>
  <c r="E42" i="18"/>
  <c r="F42" i="18"/>
  <c r="I42" i="18"/>
  <c r="H42" i="18"/>
  <c r="J144" i="21"/>
  <c r="D21" i="22"/>
  <c r="D22" i="22"/>
  <c r="O16" i="22"/>
  <c r="O17" i="22" s="1"/>
  <c r="N23" i="21" s="1"/>
  <c r="O13" i="22"/>
  <c r="O11" i="22"/>
  <c r="O12" i="22"/>
  <c r="K83" i="20"/>
  <c r="J142" i="21"/>
  <c r="H41" i="14"/>
  <c r="G65" i="21"/>
  <c r="E41" i="14"/>
  <c r="D65" i="21"/>
  <c r="G15" i="18"/>
  <c r="E15" i="18"/>
  <c r="F15" i="18"/>
  <c r="F15" i="12"/>
  <c r="E15" i="12"/>
  <c r="G15" i="12"/>
  <c r="D51" i="12"/>
  <c r="J51" i="12" s="1"/>
  <c r="J53" i="12" s="1"/>
  <c r="I88" i="21" s="1"/>
  <c r="D42" i="12"/>
  <c r="I42" i="12" s="1"/>
  <c r="I45" i="12" s="1"/>
  <c r="L33" i="14"/>
  <c r="M33" i="14"/>
  <c r="O33" i="14"/>
  <c r="N33" i="14"/>
  <c r="J33" i="14"/>
  <c r="K33" i="14"/>
  <c r="M63" i="17"/>
  <c r="M69" i="17"/>
  <c r="M68" i="17" s="1"/>
  <c r="I17" i="17"/>
  <c r="I16" i="17" s="1"/>
  <c r="AH13" i="2"/>
  <c r="K32" i="20" s="1"/>
  <c r="N36" i="20"/>
  <c r="N37" i="20" s="1"/>
  <c r="N48" i="20" s="1"/>
  <c r="M36" i="20"/>
  <c r="M37" i="20" s="1"/>
  <c r="M48" i="20" s="1"/>
  <c r="J36" i="20"/>
  <c r="J37" i="20" s="1"/>
  <c r="K36" i="20"/>
  <c r="K37" i="20" s="1"/>
  <c r="O36" i="20"/>
  <c r="O37" i="20" s="1"/>
  <c r="O48" i="20" s="1"/>
  <c r="L36" i="20"/>
  <c r="L37" i="20" s="1"/>
  <c r="L48" i="20" s="1"/>
  <c r="D26" i="17"/>
  <c r="D27" i="17"/>
  <c r="J20" i="17"/>
  <c r="J17" i="17"/>
  <c r="J16" i="17" s="1"/>
  <c r="D42" i="17"/>
  <c r="D51" i="17"/>
  <c r="O20" i="17"/>
  <c r="O17" i="17"/>
  <c r="O16" i="17" s="1"/>
  <c r="AF13" i="2"/>
  <c r="K5" i="20" s="1"/>
  <c r="M9" i="20"/>
  <c r="I9" i="20"/>
  <c r="L9" i="20"/>
  <c r="H9" i="20"/>
  <c r="N9" i="20"/>
  <c r="K9" i="20"/>
  <c r="J9" i="20"/>
  <c r="O9" i="20"/>
  <c r="L38" i="17"/>
  <c r="L47" i="17" s="1"/>
  <c r="L44" i="17"/>
  <c r="L43" i="17" s="1"/>
  <c r="N63" i="17"/>
  <c r="N72" i="17" s="1"/>
  <c r="N69" i="17"/>
  <c r="N68" i="17" s="1"/>
  <c r="L75" i="20"/>
  <c r="L66" i="20"/>
  <c r="N44" i="17"/>
  <c r="N43" i="17" s="1"/>
  <c r="N38" i="17"/>
  <c r="N47" i="17" s="1"/>
  <c r="F52" i="18"/>
  <c r="F54" i="18" s="1"/>
  <c r="E90" i="21" s="1"/>
  <c r="O52" i="18"/>
  <c r="J52" i="18"/>
  <c r="J54" i="18" s="1"/>
  <c r="I90" i="21" s="1"/>
  <c r="N52" i="18"/>
  <c r="N54" i="18" s="1"/>
  <c r="M90" i="21" s="1"/>
  <c r="K20" i="17"/>
  <c r="K17" i="17"/>
  <c r="K16" i="17" s="1"/>
  <c r="L63" i="17"/>
  <c r="L69" i="17"/>
  <c r="L68" i="17" s="1"/>
  <c r="O38" i="17"/>
  <c r="O47" i="17" s="1"/>
  <c r="O44" i="17"/>
  <c r="O43" i="17" s="1"/>
  <c r="N20" i="17"/>
  <c r="N17" i="17"/>
  <c r="N16" i="17" s="1"/>
  <c r="M12" i="18"/>
  <c r="K12" i="18"/>
  <c r="L12" i="18"/>
  <c r="O12" i="18"/>
  <c r="J12" i="18"/>
  <c r="N12" i="18"/>
  <c r="H12" i="18"/>
  <c r="I12" i="18"/>
  <c r="AL18" i="2"/>
  <c r="E41" i="4"/>
  <c r="O69" i="17"/>
  <c r="O68" i="17" s="1"/>
  <c r="O63" i="17"/>
  <c r="O72" i="17" s="1"/>
  <c r="K25" i="18"/>
  <c r="K27" i="18" s="1"/>
  <c r="J32" i="21" s="1"/>
  <c r="E25" i="18"/>
  <c r="E27" i="18" s="1"/>
  <c r="D32" i="21" s="1"/>
  <c r="N25" i="18"/>
  <c r="N27" i="18" s="1"/>
  <c r="M32" i="21" s="1"/>
  <c r="L25" i="18"/>
  <c r="L27" i="18" s="1"/>
  <c r="K32" i="21" s="1"/>
  <c r="J25" i="18"/>
  <c r="J27" i="18" s="1"/>
  <c r="I32" i="21" s="1"/>
  <c r="I25" i="18"/>
  <c r="I27" i="18" s="1"/>
  <c r="H32" i="21" s="1"/>
  <c r="O25" i="18"/>
  <c r="M25" i="18"/>
  <c r="M27" i="18" s="1"/>
  <c r="L32" i="21" s="1"/>
  <c r="H25" i="18"/>
  <c r="H27" i="18" s="1"/>
  <c r="G32" i="21" s="1"/>
  <c r="G33" i="31" s="1"/>
  <c r="F25" i="18"/>
  <c r="F27" i="18" s="1"/>
  <c r="E32" i="21" s="1"/>
  <c r="G25" i="18"/>
  <c r="G27" i="18" s="1"/>
  <c r="F32" i="21" s="1"/>
  <c r="K38" i="17"/>
  <c r="K44" i="17"/>
  <c r="K43" i="17" s="1"/>
  <c r="H17" i="17"/>
  <c r="H16" i="17" s="1"/>
  <c r="H67" i="17"/>
  <c r="H70" i="17" s="1"/>
  <c r="G123" i="21" s="1"/>
  <c r="G14" i="31" s="1"/>
  <c r="I67" i="17"/>
  <c r="I70" i="17" s="1"/>
  <c r="H123" i="21" s="1"/>
  <c r="H14" i="31" s="1"/>
  <c r="G67" i="17"/>
  <c r="G70" i="17" s="1"/>
  <c r="F123" i="21" s="1"/>
  <c r="F14" i="31" s="1"/>
  <c r="F67" i="17"/>
  <c r="F70" i="17" s="1"/>
  <c r="E123" i="21" s="1"/>
  <c r="E14" i="31" s="1"/>
  <c r="E67" i="17"/>
  <c r="E70" i="17" s="1"/>
  <c r="D123" i="21" s="1"/>
  <c r="D14" i="31" s="1"/>
  <c r="J67" i="17"/>
  <c r="J70" i="17" s="1"/>
  <c r="I123" i="21" s="1"/>
  <c r="I14" i="31" s="1"/>
  <c r="K67" i="17"/>
  <c r="K70" i="17" s="1"/>
  <c r="J123" i="21" s="1"/>
  <c r="J14" i="31" s="1"/>
  <c r="M38" i="17"/>
  <c r="M47" i="17" s="1"/>
  <c r="M44" i="17"/>
  <c r="M43" i="17" s="1"/>
  <c r="J48" i="18"/>
  <c r="J38" i="18"/>
  <c r="M20" i="17"/>
  <c r="M17" i="17"/>
  <c r="M16" i="17" s="1"/>
  <c r="M75" i="20"/>
  <c r="M66" i="20"/>
  <c r="M68" i="20" s="1"/>
  <c r="M71" i="20" s="1"/>
  <c r="M72" i="20" s="1"/>
  <c r="M73" i="20" s="1"/>
  <c r="J44" i="17"/>
  <c r="J43" i="17" s="1"/>
  <c r="J38" i="17"/>
  <c r="L17" i="17"/>
  <c r="L16" i="17" s="1"/>
  <c r="F76" i="17"/>
  <c r="F78" i="17" s="1"/>
  <c r="E145" i="21" s="1"/>
  <c r="N76" i="17"/>
  <c r="N78" i="17" s="1"/>
  <c r="M145" i="21" s="1"/>
  <c r="G76" i="17"/>
  <c r="G78" i="17" s="1"/>
  <c r="F145" i="21" s="1"/>
  <c r="H76" i="17"/>
  <c r="H78" i="17" s="1"/>
  <c r="G145" i="21" s="1"/>
  <c r="M76" i="17"/>
  <c r="M78" i="17" s="1"/>
  <c r="L145" i="21" s="1"/>
  <c r="O76" i="17"/>
  <c r="E76" i="17"/>
  <c r="E78" i="17" s="1"/>
  <c r="D145" i="21" s="1"/>
  <c r="I76" i="17"/>
  <c r="I78" i="17" s="1"/>
  <c r="H145" i="21" s="1"/>
  <c r="L76" i="17"/>
  <c r="L78" i="17" s="1"/>
  <c r="K145" i="21" s="1"/>
  <c r="F50" i="14"/>
  <c r="F41" i="14"/>
  <c r="G50" i="14"/>
  <c r="G41" i="14"/>
  <c r="E50" i="14"/>
  <c r="L47" i="12"/>
  <c r="L39" i="12"/>
  <c r="L63" i="12"/>
  <c r="L69" i="12"/>
  <c r="O57" i="14"/>
  <c r="O63" i="14" s="1"/>
  <c r="L57" i="14"/>
  <c r="L63" i="14" s="1"/>
  <c r="M57" i="14"/>
  <c r="M63" i="14" s="1"/>
  <c r="N57" i="14"/>
  <c r="N63" i="14" s="1"/>
  <c r="O63" i="12"/>
  <c r="O73" i="12" s="1"/>
  <c r="O69" i="12"/>
  <c r="I46" i="14"/>
  <c r="I48" i="14" s="1"/>
  <c r="H46" i="14"/>
  <c r="H48" i="14" s="1"/>
  <c r="I26" i="12"/>
  <c r="I28" i="12" s="1"/>
  <c r="H30" i="21" s="1"/>
  <c r="F26" i="12"/>
  <c r="G26" i="12"/>
  <c r="G28" i="12" s="1"/>
  <c r="F30" i="21" s="1"/>
  <c r="K26" i="12"/>
  <c r="K28" i="12" s="1"/>
  <c r="J30" i="21" s="1"/>
  <c r="O26" i="12"/>
  <c r="E26" i="12"/>
  <c r="E28" i="12" s="1"/>
  <c r="D30" i="21" s="1"/>
  <c r="N26" i="12"/>
  <c r="N28" i="12" s="1"/>
  <c r="M30" i="21" s="1"/>
  <c r="M26" i="12"/>
  <c r="M28" i="12" s="1"/>
  <c r="L30" i="21" s="1"/>
  <c r="J26" i="12"/>
  <c r="J28" i="12" s="1"/>
  <c r="I30" i="21" s="1"/>
  <c r="L26" i="12"/>
  <c r="L28" i="12" s="1"/>
  <c r="K30" i="21" s="1"/>
  <c r="H26" i="12"/>
  <c r="H28" i="12" s="1"/>
  <c r="G30" i="21" s="1"/>
  <c r="H20" i="12"/>
  <c r="H12" i="12"/>
  <c r="M63" i="12"/>
  <c r="M69" i="12"/>
  <c r="N63" i="12"/>
  <c r="N69" i="12"/>
  <c r="AF14" i="2"/>
  <c r="K5" i="14" s="1"/>
  <c r="H9" i="14"/>
  <c r="M9" i="14"/>
  <c r="L9" i="14"/>
  <c r="O9" i="14"/>
  <c r="K9" i="14"/>
  <c r="N9" i="14"/>
  <c r="J9" i="14"/>
  <c r="I9" i="14"/>
  <c r="I20" i="12"/>
  <c r="I12" i="12"/>
  <c r="AD13" i="2"/>
  <c r="AL13" i="2"/>
  <c r="AD19" i="2"/>
  <c r="AD20" i="2"/>
  <c r="AD21" i="2"/>
  <c r="AD23" i="2"/>
  <c r="AD15" i="2"/>
  <c r="AD16" i="2"/>
  <c r="AD18" i="2"/>
  <c r="AD11" i="2"/>
  <c r="AM14" i="2"/>
  <c r="AD14" i="2"/>
  <c r="AL14" i="2"/>
  <c r="O41" i="9"/>
  <c r="K41" i="9"/>
  <c r="L41" i="9"/>
  <c r="N41" i="9"/>
  <c r="M41" i="9"/>
  <c r="J41" i="9"/>
  <c r="AH12" i="2"/>
  <c r="K31" i="9" s="1"/>
  <c r="D49" i="9" s="1"/>
  <c r="AC17" i="2"/>
  <c r="B17" i="2"/>
  <c r="AF17" i="2" s="1"/>
  <c r="B12" i="2"/>
  <c r="D12" i="2"/>
  <c r="AJ12" i="2" s="1"/>
  <c r="K55" i="9" s="1"/>
  <c r="AC12" i="2"/>
  <c r="J20" i="12" l="1"/>
  <c r="L16" i="22"/>
  <c r="L17" i="22" s="1"/>
  <c r="K23" i="21" s="1"/>
  <c r="K80" i="31"/>
  <c r="N15" i="14"/>
  <c r="M72" i="31"/>
  <c r="I33" i="31"/>
  <c r="N10" i="20"/>
  <c r="N21" i="20" s="1"/>
  <c r="M71" i="31"/>
  <c r="J13" i="22"/>
  <c r="I80" i="31"/>
  <c r="K15" i="14"/>
  <c r="J72" i="31"/>
  <c r="H10" i="20"/>
  <c r="G71" i="31"/>
  <c r="N13" i="22"/>
  <c r="M80" i="31"/>
  <c r="K10" i="20"/>
  <c r="K21" i="20" s="1"/>
  <c r="J71" i="31"/>
  <c r="L10" i="20"/>
  <c r="L21" i="20" s="1"/>
  <c r="K71" i="31"/>
  <c r="I12" i="22"/>
  <c r="H80" i="31"/>
  <c r="O15" i="14"/>
  <c r="N72" i="31"/>
  <c r="L15" i="14"/>
  <c r="K72" i="31"/>
  <c r="I10" i="20"/>
  <c r="H71" i="31"/>
  <c r="K13" i="22"/>
  <c r="J80" i="31"/>
  <c r="M15" i="14"/>
  <c r="L72" i="31"/>
  <c r="M10" i="20"/>
  <c r="M21" i="20" s="1"/>
  <c r="L71" i="31"/>
  <c r="M12" i="22"/>
  <c r="L80" i="31"/>
  <c r="H15" i="14"/>
  <c r="G72" i="31"/>
  <c r="O10" i="20"/>
  <c r="O21" i="20" s="1"/>
  <c r="N71" i="31"/>
  <c r="J15" i="14"/>
  <c r="I72" i="31"/>
  <c r="I15" i="14"/>
  <c r="H72" i="31"/>
  <c r="J10" i="20"/>
  <c r="J21" i="20" s="1"/>
  <c r="I71" i="31"/>
  <c r="H16" i="22"/>
  <c r="H17" i="22" s="1"/>
  <c r="G23" i="21" s="1"/>
  <c r="G80" i="31"/>
  <c r="M33" i="31"/>
  <c r="E33" i="31"/>
  <c r="I31" i="31"/>
  <c r="G52" i="18"/>
  <c r="G54" i="18" s="1"/>
  <c r="F90" i="21" s="1"/>
  <c r="F33" i="31" s="1"/>
  <c r="K52" i="18"/>
  <c r="K54" i="18" s="1"/>
  <c r="J90" i="21" s="1"/>
  <c r="J33" i="31" s="1"/>
  <c r="L52" i="18"/>
  <c r="L54" i="18" s="1"/>
  <c r="K90" i="21" s="1"/>
  <c r="K33" i="31" s="1"/>
  <c r="E52" i="18"/>
  <c r="E54" i="18" s="1"/>
  <c r="D90" i="21" s="1"/>
  <c r="D33" i="31" s="1"/>
  <c r="I52" i="18"/>
  <c r="I54" i="18" s="1"/>
  <c r="H90" i="21" s="1"/>
  <c r="H33" i="31" s="1"/>
  <c r="G42" i="12"/>
  <c r="G45" i="12" s="1"/>
  <c r="F66" i="21" s="1"/>
  <c r="H42" i="12"/>
  <c r="H45" i="12" s="1"/>
  <c r="H46" i="12" s="1"/>
  <c r="F42" i="12"/>
  <c r="F45" i="12" s="1"/>
  <c r="F46" i="12" s="1"/>
  <c r="K11" i="22"/>
  <c r="M52" i="18"/>
  <c r="M54" i="18" s="1"/>
  <c r="L90" i="21" s="1"/>
  <c r="L33" i="31" s="1"/>
  <c r="K12" i="22"/>
  <c r="K16" i="22"/>
  <c r="K17" i="22" s="1"/>
  <c r="J23" i="21" s="1"/>
  <c r="L13" i="22"/>
  <c r="L11" i="22"/>
  <c r="D26" i="2"/>
  <c r="L12" i="22"/>
  <c r="J11" i="22"/>
  <c r="J12" i="22"/>
  <c r="J16" i="22"/>
  <c r="J17" i="22" s="1"/>
  <c r="I23" i="21" s="1"/>
  <c r="M11" i="22"/>
  <c r="M16" i="22"/>
  <c r="M17" i="22" s="1"/>
  <c r="L23" i="21" s="1"/>
  <c r="J39" i="12"/>
  <c r="J40" i="12" s="1"/>
  <c r="B26" i="2"/>
  <c r="I13" i="22"/>
  <c r="N16" i="22"/>
  <c r="N17" i="22" s="1"/>
  <c r="M23" i="21" s="1"/>
  <c r="E42" i="12"/>
  <c r="E45" i="12" s="1"/>
  <c r="D66" i="21" s="1"/>
  <c r="N12" i="22"/>
  <c r="M13" i="22"/>
  <c r="I11" i="22"/>
  <c r="N11" i="22"/>
  <c r="AG26" i="2"/>
  <c r="J70" i="14"/>
  <c r="J72" i="14" s="1"/>
  <c r="I143" i="21" s="1"/>
  <c r="K39" i="12"/>
  <c r="AE26" i="2"/>
  <c r="H13" i="22"/>
  <c r="H12" i="22"/>
  <c r="H11" i="22"/>
  <c r="K72" i="12"/>
  <c r="J122" i="21"/>
  <c r="I72" i="12"/>
  <c r="I81" i="12"/>
  <c r="H122" i="21"/>
  <c r="I62" i="14"/>
  <c r="I64" i="14" s="1"/>
  <c r="G62" i="14"/>
  <c r="G64" i="14" s="1"/>
  <c r="H62" i="14"/>
  <c r="H64" i="14" s="1"/>
  <c r="J62" i="14"/>
  <c r="J64" i="14" s="1"/>
  <c r="F62" i="14"/>
  <c r="F64" i="14" s="1"/>
  <c r="E62" i="14"/>
  <c r="E64" i="14" s="1"/>
  <c r="K62" i="14"/>
  <c r="K64" i="14" s="1"/>
  <c r="K74" i="14" s="1"/>
  <c r="G72" i="12"/>
  <c r="F122" i="21"/>
  <c r="G81" i="12"/>
  <c r="N70" i="14"/>
  <c r="N72" i="14" s="1"/>
  <c r="M143" i="21" s="1"/>
  <c r="M70" i="14"/>
  <c r="M72" i="14" s="1"/>
  <c r="L143" i="21" s="1"/>
  <c r="F70" i="14"/>
  <c r="F72" i="14" s="1"/>
  <c r="E143" i="21" s="1"/>
  <c r="G70" i="14"/>
  <c r="G72" i="14" s="1"/>
  <c r="F143" i="21" s="1"/>
  <c r="E70" i="14"/>
  <c r="E72" i="14" s="1"/>
  <c r="D143" i="21" s="1"/>
  <c r="L70" i="14"/>
  <c r="L72" i="14" s="1"/>
  <c r="K143" i="21" s="1"/>
  <c r="I70" i="14"/>
  <c r="I72" i="14" s="1"/>
  <c r="H143" i="21" s="1"/>
  <c r="O70" i="14"/>
  <c r="H70" i="14"/>
  <c r="H72" i="14" s="1"/>
  <c r="G143" i="21" s="1"/>
  <c r="J72" i="12"/>
  <c r="I122" i="21"/>
  <c r="D73" i="9"/>
  <c r="D72" i="9"/>
  <c r="D64" i="9"/>
  <c r="H81" i="12"/>
  <c r="H72" i="12"/>
  <c r="G122" i="21"/>
  <c r="E81" i="12"/>
  <c r="D122" i="21"/>
  <c r="E72" i="12"/>
  <c r="F81" i="12"/>
  <c r="F72" i="12"/>
  <c r="E122" i="21"/>
  <c r="AI26" i="2"/>
  <c r="L51" i="12"/>
  <c r="L53" i="12" s="1"/>
  <c r="K88" i="21" s="1"/>
  <c r="K31" i="31" s="1"/>
  <c r="M51" i="12"/>
  <c r="M53" i="12" s="1"/>
  <c r="L88" i="21" s="1"/>
  <c r="L31" i="31" s="1"/>
  <c r="F51" i="12"/>
  <c r="F53" i="12" s="1"/>
  <c r="E88" i="21" s="1"/>
  <c r="E51" i="12"/>
  <c r="E53" i="12" s="1"/>
  <c r="D88" i="21" s="1"/>
  <c r="D31" i="31" s="1"/>
  <c r="H51" i="12"/>
  <c r="H53" i="12" s="1"/>
  <c r="G88" i="21" s="1"/>
  <c r="G31" i="31" s="1"/>
  <c r="O14" i="22"/>
  <c r="N12" i="21" s="1"/>
  <c r="H50" i="14"/>
  <c r="G87" i="21"/>
  <c r="N35" i="22"/>
  <c r="N36" i="22"/>
  <c r="N39" i="22"/>
  <c r="N40" i="22" s="1"/>
  <c r="M81" i="21" s="1"/>
  <c r="N34" i="22"/>
  <c r="I50" i="14"/>
  <c r="H87" i="21"/>
  <c r="K21" i="22"/>
  <c r="K23" i="22" s="1"/>
  <c r="J34" i="21" s="1"/>
  <c r="J37" i="31" s="1"/>
  <c r="J21" i="22"/>
  <c r="J23" i="22" s="1"/>
  <c r="I34" i="21" s="1"/>
  <c r="I37" i="31" s="1"/>
  <c r="I21" i="22"/>
  <c r="I23" i="22" s="1"/>
  <c r="H34" i="21" s="1"/>
  <c r="M21" i="22"/>
  <c r="M23" i="22" s="1"/>
  <c r="L34" i="21" s="1"/>
  <c r="L37" i="31" s="1"/>
  <c r="H21" i="22"/>
  <c r="H23" i="22" s="1"/>
  <c r="G34" i="21" s="1"/>
  <c r="O21" i="22"/>
  <c r="O23" i="22" s="1"/>
  <c r="N34" i="21" s="1"/>
  <c r="N37" i="31" s="1"/>
  <c r="N41" i="31" s="1"/>
  <c r="N47" i="31" s="1"/>
  <c r="E21" i="22"/>
  <c r="E23" i="22" s="1"/>
  <c r="L21" i="22"/>
  <c r="L23" i="22" s="1"/>
  <c r="K34" i="21" s="1"/>
  <c r="K37" i="31" s="1"/>
  <c r="N21" i="22"/>
  <c r="N23" i="22" s="1"/>
  <c r="M34" i="21" s="1"/>
  <c r="M37" i="31" s="1"/>
  <c r="F21" i="22"/>
  <c r="F23" i="22" s="1"/>
  <c r="G21" i="22"/>
  <c r="G23" i="22" s="1"/>
  <c r="J35" i="22"/>
  <c r="J39" i="22"/>
  <c r="J40" i="22" s="1"/>
  <c r="I81" i="21" s="1"/>
  <c r="J36" i="22"/>
  <c r="J34" i="22"/>
  <c r="O35" i="22"/>
  <c r="O36" i="22"/>
  <c r="O39" i="22"/>
  <c r="O40" i="22" s="1"/>
  <c r="N81" i="21" s="1"/>
  <c r="O34" i="22"/>
  <c r="G46" i="12"/>
  <c r="J143" i="21"/>
  <c r="L36" i="22"/>
  <c r="L34" i="22"/>
  <c r="L39" i="22"/>
  <c r="L40" i="22" s="1"/>
  <c r="K81" i="21" s="1"/>
  <c r="L35" i="22"/>
  <c r="M36" i="22"/>
  <c r="M34" i="22"/>
  <c r="M35" i="22"/>
  <c r="M39" i="22"/>
  <c r="M40" i="22" s="1"/>
  <c r="L81" i="21" s="1"/>
  <c r="M74" i="20"/>
  <c r="L120" i="21"/>
  <c r="H92" i="21"/>
  <c r="I45" i="22"/>
  <c r="K35" i="22"/>
  <c r="K39" i="22"/>
  <c r="K40" i="22" s="1"/>
  <c r="J81" i="21" s="1"/>
  <c r="K34" i="22"/>
  <c r="K36" i="22"/>
  <c r="I46" i="12"/>
  <c r="H66" i="21"/>
  <c r="G92" i="21"/>
  <c r="H45" i="22"/>
  <c r="I51" i="12"/>
  <c r="I53" i="12" s="1"/>
  <c r="H88" i="21" s="1"/>
  <c r="H31" i="31" s="1"/>
  <c r="K51" i="12"/>
  <c r="K53" i="12" s="1"/>
  <c r="J88" i="21" s="1"/>
  <c r="J31" i="31" s="1"/>
  <c r="O51" i="12"/>
  <c r="G51" i="12"/>
  <c r="G53" i="12" s="1"/>
  <c r="F88" i="21" s="1"/>
  <c r="F31" i="31" s="1"/>
  <c r="N51" i="12"/>
  <c r="N53" i="12" s="1"/>
  <c r="M88" i="21" s="1"/>
  <c r="M31" i="31" s="1"/>
  <c r="F18" i="18"/>
  <c r="F17" i="18"/>
  <c r="F16" i="18"/>
  <c r="J71" i="17"/>
  <c r="J80" i="17"/>
  <c r="E45" i="18"/>
  <c r="E43" i="18"/>
  <c r="E44" i="18"/>
  <c r="N13" i="18"/>
  <c r="N22" i="18"/>
  <c r="N23" i="18" s="1"/>
  <c r="M21" i="21" s="1"/>
  <c r="K48" i="20"/>
  <c r="K39" i="20"/>
  <c r="K41" i="20" s="1"/>
  <c r="G17" i="18"/>
  <c r="G18" i="18"/>
  <c r="G16" i="18"/>
  <c r="E71" i="17"/>
  <c r="E80" i="17"/>
  <c r="H43" i="18"/>
  <c r="H44" i="18"/>
  <c r="H45" i="18"/>
  <c r="J13" i="18"/>
  <c r="J22" i="18"/>
  <c r="J23" i="18" s="1"/>
  <c r="I21" i="21" s="1"/>
  <c r="L68" i="20"/>
  <c r="L71" i="20" s="1"/>
  <c r="L72" i="20" s="1"/>
  <c r="L73" i="20" s="1"/>
  <c r="O67" i="20"/>
  <c r="M67" i="20"/>
  <c r="N67" i="20"/>
  <c r="L67" i="20"/>
  <c r="D17" i="20"/>
  <c r="D25" i="20"/>
  <c r="D26" i="20"/>
  <c r="J48" i="20"/>
  <c r="J39" i="20"/>
  <c r="M72" i="17"/>
  <c r="M64" i="17"/>
  <c r="J47" i="17"/>
  <c r="J39" i="17"/>
  <c r="E16" i="18"/>
  <c r="E18" i="18"/>
  <c r="E17" i="18"/>
  <c r="F71" i="17"/>
  <c r="F80" i="17"/>
  <c r="F43" i="18"/>
  <c r="F45" i="18"/>
  <c r="F44" i="18"/>
  <c r="O13" i="18"/>
  <c r="O22" i="18"/>
  <c r="O23" i="18" s="1"/>
  <c r="N21" i="21" s="1"/>
  <c r="J26" i="17"/>
  <c r="J28" i="17" s="1"/>
  <c r="I31" i="21" s="1"/>
  <c r="M26" i="17"/>
  <c r="M28" i="17" s="1"/>
  <c r="L31" i="21" s="1"/>
  <c r="H26" i="17"/>
  <c r="H28" i="17" s="1"/>
  <c r="G31" i="21" s="1"/>
  <c r="O26" i="17"/>
  <c r="N26" i="17"/>
  <c r="N28" i="17" s="1"/>
  <c r="M31" i="21" s="1"/>
  <c r="E26" i="17"/>
  <c r="E28" i="17" s="1"/>
  <c r="D31" i="21" s="1"/>
  <c r="I26" i="17"/>
  <c r="I28" i="17" s="1"/>
  <c r="H31" i="21" s="1"/>
  <c r="K26" i="17"/>
  <c r="K28" i="17" s="1"/>
  <c r="J31" i="21" s="1"/>
  <c r="L26" i="17"/>
  <c r="L28" i="17" s="1"/>
  <c r="K31" i="21" s="1"/>
  <c r="F26" i="17"/>
  <c r="F28" i="17" s="1"/>
  <c r="E31" i="21" s="1"/>
  <c r="G26" i="17"/>
  <c r="G28" i="17" s="1"/>
  <c r="F31" i="21" s="1"/>
  <c r="K39" i="14"/>
  <c r="K34" i="14"/>
  <c r="K42" i="14" s="1"/>
  <c r="K39" i="18"/>
  <c r="J39" i="18"/>
  <c r="N39" i="18"/>
  <c r="M39" i="18"/>
  <c r="O39" i="18"/>
  <c r="L39" i="18"/>
  <c r="G71" i="17"/>
  <c r="G80" i="17"/>
  <c r="G45" i="18"/>
  <c r="G44" i="18"/>
  <c r="G43" i="18"/>
  <c r="L13" i="18"/>
  <c r="L22" i="18"/>
  <c r="L23" i="18" s="1"/>
  <c r="K21" i="21" s="1"/>
  <c r="L72" i="17"/>
  <c r="L64" i="17"/>
  <c r="J39" i="14"/>
  <c r="J34" i="14"/>
  <c r="I71" i="17"/>
  <c r="I80" i="17"/>
  <c r="I43" i="18"/>
  <c r="I44" i="18"/>
  <c r="I45" i="18"/>
  <c r="K13" i="18"/>
  <c r="K22" i="18"/>
  <c r="K23" i="18" s="1"/>
  <c r="J21" i="21" s="1"/>
  <c r="D53" i="20"/>
  <c r="D52" i="20"/>
  <c r="D44" i="20"/>
  <c r="N39" i="14"/>
  <c r="N34" i="14"/>
  <c r="N42" i="14" s="1"/>
  <c r="H71" i="17"/>
  <c r="H80" i="17"/>
  <c r="M13" i="18"/>
  <c r="M22" i="18"/>
  <c r="M23" i="18" s="1"/>
  <c r="L21" i="21" s="1"/>
  <c r="H21" i="20"/>
  <c r="H12" i="20"/>
  <c r="G51" i="17"/>
  <c r="G53" i="17" s="1"/>
  <c r="F89" i="21" s="1"/>
  <c r="E51" i="17"/>
  <c r="E53" i="17" s="1"/>
  <c r="D89" i="21" s="1"/>
  <c r="K51" i="17"/>
  <c r="K53" i="17" s="1"/>
  <c r="J89" i="21" s="1"/>
  <c r="M51" i="17"/>
  <c r="M53" i="17" s="1"/>
  <c r="L89" i="21" s="1"/>
  <c r="O51" i="17"/>
  <c r="N51" i="17"/>
  <c r="N53" i="17" s="1"/>
  <c r="M89" i="21" s="1"/>
  <c r="L51" i="17"/>
  <c r="L53" i="17" s="1"/>
  <c r="K89" i="21" s="1"/>
  <c r="J51" i="17"/>
  <c r="J53" i="17" s="1"/>
  <c r="I89" i="21" s="1"/>
  <c r="F51" i="17"/>
  <c r="F53" i="17" s="1"/>
  <c r="E89" i="21" s="1"/>
  <c r="H51" i="17"/>
  <c r="H53" i="17" s="1"/>
  <c r="G89" i="21" s="1"/>
  <c r="I51" i="17"/>
  <c r="I53" i="17" s="1"/>
  <c r="H89" i="21" s="1"/>
  <c r="O39" i="14"/>
  <c r="O34" i="14"/>
  <c r="O42" i="14" s="1"/>
  <c r="AL17" i="2"/>
  <c r="E40" i="4"/>
  <c r="K47" i="17"/>
  <c r="K39" i="17"/>
  <c r="I13" i="18"/>
  <c r="I22" i="18"/>
  <c r="I23" i="18" s="1"/>
  <c r="H21" i="21" s="1"/>
  <c r="E42" i="17"/>
  <c r="E45" i="17" s="1"/>
  <c r="D67" i="21" s="1"/>
  <c r="F42" i="17"/>
  <c r="F45" i="17" s="1"/>
  <c r="E67" i="21" s="1"/>
  <c r="I42" i="17"/>
  <c r="I45" i="17" s="1"/>
  <c r="H67" i="21" s="1"/>
  <c r="H42" i="17"/>
  <c r="H45" i="17" s="1"/>
  <c r="G67" i="21" s="1"/>
  <c r="G42" i="17"/>
  <c r="G45" i="17" s="1"/>
  <c r="F67" i="21" s="1"/>
  <c r="I20" i="17"/>
  <c r="I12" i="17"/>
  <c r="M39" i="14"/>
  <c r="M34" i="14"/>
  <c r="M42" i="14" s="1"/>
  <c r="K71" i="17"/>
  <c r="K80" i="17"/>
  <c r="H20" i="17"/>
  <c r="H12" i="17"/>
  <c r="H13" i="18"/>
  <c r="H22" i="18"/>
  <c r="H23" i="18" s="1"/>
  <c r="G21" i="21" s="1"/>
  <c r="I21" i="20"/>
  <c r="I12" i="20"/>
  <c r="I14" i="20" s="1"/>
  <c r="L39" i="14"/>
  <c r="L34" i="14"/>
  <c r="L42" i="14" s="1"/>
  <c r="K10" i="14"/>
  <c r="AD17" i="2"/>
  <c r="O10" i="14"/>
  <c r="L10" i="14"/>
  <c r="N73" i="12"/>
  <c r="N64" i="12"/>
  <c r="M73" i="12"/>
  <c r="M64" i="12"/>
  <c r="N58" i="14"/>
  <c r="N66" i="14" s="1"/>
  <c r="M10" i="14"/>
  <c r="N13" i="12"/>
  <c r="N15" i="12" s="1"/>
  <c r="M13" i="12"/>
  <c r="M15" i="12" s="1"/>
  <c r="K13" i="12"/>
  <c r="K15" i="12" s="1"/>
  <c r="H13" i="12"/>
  <c r="H15" i="12" s="1"/>
  <c r="L13" i="12"/>
  <c r="L15" i="12" s="1"/>
  <c r="I13" i="12"/>
  <c r="I15" i="12" s="1"/>
  <c r="J13" i="12"/>
  <c r="J15" i="12" s="1"/>
  <c r="O13" i="12"/>
  <c r="M58" i="14"/>
  <c r="M66" i="14" s="1"/>
  <c r="L73" i="12"/>
  <c r="L64" i="12"/>
  <c r="H10" i="14"/>
  <c r="G62" i="31" s="1"/>
  <c r="L58" i="14"/>
  <c r="G25" i="4"/>
  <c r="H25" i="4" s="1"/>
  <c r="H29" i="4" s="1"/>
  <c r="F28" i="4"/>
  <c r="F26" i="4"/>
  <c r="F25" i="4"/>
  <c r="I10" i="14"/>
  <c r="O58" i="14"/>
  <c r="O66" i="14" s="1"/>
  <c r="L9" i="9"/>
  <c r="K70" i="31" s="1"/>
  <c r="K81" i="31" s="1"/>
  <c r="I9" i="9"/>
  <c r="H70" i="31" s="1"/>
  <c r="H81" i="31" s="1"/>
  <c r="M9" i="9"/>
  <c r="L70" i="31" s="1"/>
  <c r="L81" i="31" s="1"/>
  <c r="H9" i="9"/>
  <c r="G70" i="31" s="1"/>
  <c r="G81" i="31" s="1"/>
  <c r="N9" i="9"/>
  <c r="O9" i="9"/>
  <c r="J9" i="9"/>
  <c r="I70" i="31" s="1"/>
  <c r="I81" i="31" s="1"/>
  <c r="K9" i="9"/>
  <c r="J70" i="31" s="1"/>
  <c r="J81" i="31" s="1"/>
  <c r="J10" i="14"/>
  <c r="N10" i="14"/>
  <c r="D22" i="14"/>
  <c r="D23" i="14"/>
  <c r="D14" i="14"/>
  <c r="D48" i="9"/>
  <c r="D40" i="9"/>
  <c r="J36" i="9"/>
  <c r="M36" i="9"/>
  <c r="M44" i="9" s="1"/>
  <c r="AD12" i="2"/>
  <c r="AL12" i="2"/>
  <c r="N36" i="9"/>
  <c r="N44" i="9" s="1"/>
  <c r="L36" i="9"/>
  <c r="L44" i="9" s="1"/>
  <c r="N65" i="9"/>
  <c r="O65" i="9"/>
  <c r="L65" i="9"/>
  <c r="M65" i="9"/>
  <c r="K36" i="9"/>
  <c r="AF12" i="2"/>
  <c r="K5" i="9" s="1"/>
  <c r="D25" i="9" s="1"/>
  <c r="O36" i="9"/>
  <c r="O44" i="9" s="1"/>
  <c r="O15" i="9" l="1"/>
  <c r="N70" i="31"/>
  <c r="N81" i="31" s="1"/>
  <c r="G48" i="9"/>
  <c r="M48" i="9"/>
  <c r="L48" i="9"/>
  <c r="O48" i="9"/>
  <c r="F48" i="9"/>
  <c r="F50" i="9" s="1"/>
  <c r="E85" i="21" s="1"/>
  <c r="E48" i="9"/>
  <c r="K48" i="9"/>
  <c r="J48" i="9"/>
  <c r="I48" i="9"/>
  <c r="N48" i="9"/>
  <c r="H48" i="9"/>
  <c r="N15" i="9"/>
  <c r="M70" i="31"/>
  <c r="M81" i="31" s="1"/>
  <c r="N18" i="14"/>
  <c r="M62" i="31"/>
  <c r="M15" i="18"/>
  <c r="K15" i="18"/>
  <c r="N15" i="18"/>
  <c r="J18" i="14"/>
  <c r="I62" i="31"/>
  <c r="O18" i="14"/>
  <c r="N62" i="31"/>
  <c r="H15" i="18"/>
  <c r="H17" i="18" s="1"/>
  <c r="G65" i="31"/>
  <c r="L15" i="18"/>
  <c r="L17" i="18" s="1"/>
  <c r="I18" i="14"/>
  <c r="H62" i="31"/>
  <c r="L18" i="14"/>
  <c r="K62" i="31"/>
  <c r="I15" i="18"/>
  <c r="H65" i="31"/>
  <c r="M18" i="14"/>
  <c r="L62" i="31"/>
  <c r="K18" i="14"/>
  <c r="J62" i="31"/>
  <c r="O15" i="18"/>
  <c r="O18" i="18" s="1"/>
  <c r="J15" i="18"/>
  <c r="J17" i="18" s="1"/>
  <c r="G72" i="9"/>
  <c r="O72" i="9"/>
  <c r="N72" i="9"/>
  <c r="H72" i="9"/>
  <c r="H74" i="9" s="1"/>
  <c r="G141" i="21" s="1"/>
  <c r="G149" i="21" s="1"/>
  <c r="E72" i="9"/>
  <c r="F72" i="9"/>
  <c r="I72" i="9"/>
  <c r="I74" i="9" s="1"/>
  <c r="H141" i="21" s="1"/>
  <c r="H149" i="21" s="1"/>
  <c r="J72" i="9"/>
  <c r="J74" i="9" s="1"/>
  <c r="I141" i="21" s="1"/>
  <c r="I149" i="21" s="1"/>
  <c r="K72" i="9"/>
  <c r="K74" i="9" s="1"/>
  <c r="J141" i="21" s="1"/>
  <c r="J149" i="21" s="1"/>
  <c r="L72" i="9"/>
  <c r="M72" i="9"/>
  <c r="J32" i="31"/>
  <c r="E32" i="31"/>
  <c r="D32" i="31"/>
  <c r="K32" i="31"/>
  <c r="E66" i="21"/>
  <c r="G37" i="31"/>
  <c r="K15" i="9"/>
  <c r="F32" i="31"/>
  <c r="G32" i="31"/>
  <c r="G66" i="21"/>
  <c r="L32" i="31"/>
  <c r="H37" i="31"/>
  <c r="I32" i="31"/>
  <c r="J15" i="9"/>
  <c r="H15" i="9"/>
  <c r="H32" i="31"/>
  <c r="L15" i="9"/>
  <c r="M15" i="9"/>
  <c r="I15" i="9"/>
  <c r="M32" i="31"/>
  <c r="K14" i="22"/>
  <c r="J12" i="21" s="1"/>
  <c r="L14" i="22"/>
  <c r="M14" i="22"/>
  <c r="M25" i="22" s="1"/>
  <c r="J14" i="22"/>
  <c r="I12" i="21" s="1"/>
  <c r="I14" i="22"/>
  <c r="H12" i="21" s="1"/>
  <c r="H20" i="31" s="1"/>
  <c r="K40" i="12"/>
  <c r="K48" i="12" s="1"/>
  <c r="K49" i="12" s="1"/>
  <c r="J77" i="21" s="1"/>
  <c r="E46" i="12"/>
  <c r="N14" i="22"/>
  <c r="M12" i="21" s="1"/>
  <c r="F55" i="12"/>
  <c r="M40" i="12"/>
  <c r="M42" i="12" s="1"/>
  <c r="M45" i="12" s="1"/>
  <c r="N40" i="12"/>
  <c r="N48" i="12" s="1"/>
  <c r="N49" i="12" s="1"/>
  <c r="M77" i="21" s="1"/>
  <c r="L40" i="12"/>
  <c r="L48" i="12" s="1"/>
  <c r="L49" i="12" s="1"/>
  <c r="K77" i="21" s="1"/>
  <c r="O40" i="12"/>
  <c r="O42" i="12" s="1"/>
  <c r="O45" i="12" s="1"/>
  <c r="J74" i="14"/>
  <c r="H14" i="22"/>
  <c r="H25" i="22" s="1"/>
  <c r="I55" i="12"/>
  <c r="I17" i="20"/>
  <c r="I18" i="20" s="1"/>
  <c r="I19" i="20" s="1"/>
  <c r="H6" i="21" s="1"/>
  <c r="J64" i="9"/>
  <c r="J66" i="9" s="1"/>
  <c r="K64" i="9"/>
  <c r="K66" i="9" s="1"/>
  <c r="E64" i="9"/>
  <c r="E66" i="9" s="1"/>
  <c r="H64" i="9"/>
  <c r="H66" i="9" s="1"/>
  <c r="G64" i="9"/>
  <c r="G66" i="9" s="1"/>
  <c r="F64" i="9"/>
  <c r="F66" i="9" s="1"/>
  <c r="I64" i="9"/>
  <c r="I66" i="9" s="1"/>
  <c r="I74" i="14"/>
  <c r="I65" i="14"/>
  <c r="H121" i="21"/>
  <c r="N74" i="9"/>
  <c r="M141" i="21" s="1"/>
  <c r="M149" i="21" s="1"/>
  <c r="L74" i="9"/>
  <c r="K141" i="21" s="1"/>
  <c r="K149" i="21" s="1"/>
  <c r="E74" i="9"/>
  <c r="D141" i="21" s="1"/>
  <c r="D149" i="21" s="1"/>
  <c r="M74" i="9"/>
  <c r="L141" i="21" s="1"/>
  <c r="L149" i="21" s="1"/>
  <c r="F74" i="9"/>
  <c r="E141" i="21" s="1"/>
  <c r="E149" i="21" s="1"/>
  <c r="G74" i="9"/>
  <c r="F141" i="21" s="1"/>
  <c r="F149" i="21" s="1"/>
  <c r="E65" i="14"/>
  <c r="E74" i="14"/>
  <c r="D121" i="21"/>
  <c r="K65" i="14"/>
  <c r="J121" i="21"/>
  <c r="F65" i="14"/>
  <c r="E121" i="21"/>
  <c r="F74" i="14"/>
  <c r="I15" i="22"/>
  <c r="J65" i="14"/>
  <c r="I121" i="21"/>
  <c r="E55" i="12"/>
  <c r="H65" i="14"/>
  <c r="H74" i="14"/>
  <c r="G121" i="21"/>
  <c r="F121" i="21"/>
  <c r="G74" i="14"/>
  <c r="G65" i="14"/>
  <c r="H55" i="12"/>
  <c r="O15" i="22"/>
  <c r="O25" i="22"/>
  <c r="G55" i="12"/>
  <c r="D34" i="21"/>
  <c r="D37" i="31" s="1"/>
  <c r="E25" i="22"/>
  <c r="L74" i="20"/>
  <c r="K120" i="21"/>
  <c r="Q141" i="21" s="1"/>
  <c r="O37" i="22"/>
  <c r="N37" i="22"/>
  <c r="M37" i="22"/>
  <c r="L37" i="22"/>
  <c r="L15" i="22"/>
  <c r="K12" i="21"/>
  <c r="L25" i="22"/>
  <c r="F34" i="21"/>
  <c r="F37" i="31" s="1"/>
  <c r="G25" i="22"/>
  <c r="E34" i="21"/>
  <c r="E37" i="31" s="1"/>
  <c r="F25" i="22"/>
  <c r="K37" i="22"/>
  <c r="J37" i="22"/>
  <c r="E46" i="18"/>
  <c r="D68" i="21" s="1"/>
  <c r="H46" i="18"/>
  <c r="G68" i="21" s="1"/>
  <c r="G46" i="18"/>
  <c r="G56" i="18" s="1"/>
  <c r="E19" i="18"/>
  <c r="F46" i="18"/>
  <c r="I46" i="18"/>
  <c r="I47" i="18" s="1"/>
  <c r="E46" i="17"/>
  <c r="E55" i="17"/>
  <c r="E43" i="4"/>
  <c r="F40" i="4" s="1"/>
  <c r="G40" i="4" s="1"/>
  <c r="H14" i="20"/>
  <c r="H17" i="20" s="1"/>
  <c r="K13" i="20"/>
  <c r="M13" i="20"/>
  <c r="J13" i="20"/>
  <c r="L13" i="20"/>
  <c r="I13" i="20"/>
  <c r="H13" i="20"/>
  <c r="O13" i="20"/>
  <c r="N13" i="20"/>
  <c r="L44" i="20"/>
  <c r="L45" i="20" s="1"/>
  <c r="L46" i="20" s="1"/>
  <c r="I44" i="20"/>
  <c r="I45" i="20" s="1"/>
  <c r="I46" i="20" s="1"/>
  <c r="H64" i="21" s="1"/>
  <c r="N44" i="20"/>
  <c r="G44" i="20"/>
  <c r="G45" i="20" s="1"/>
  <c r="G46" i="20" s="1"/>
  <c r="F64" i="21" s="1"/>
  <c r="F44" i="20"/>
  <c r="F45" i="20" s="1"/>
  <c r="F46" i="20" s="1"/>
  <c r="E64" i="21" s="1"/>
  <c r="H44" i="20"/>
  <c r="H45" i="20" s="1"/>
  <c r="H46" i="20" s="1"/>
  <c r="G64" i="21" s="1"/>
  <c r="O44" i="20"/>
  <c r="O45" i="20" s="1"/>
  <c r="O46" i="20" s="1"/>
  <c r="N64" i="21" s="1"/>
  <c r="M44" i="20"/>
  <c r="M45" i="20" s="1"/>
  <c r="M46" i="20" s="1"/>
  <c r="L64" i="21" s="1"/>
  <c r="E44" i="20"/>
  <c r="E45" i="20" s="1"/>
  <c r="E46" i="20" s="1"/>
  <c r="D64" i="21" s="1"/>
  <c r="I25" i="20"/>
  <c r="I27" i="20" s="1"/>
  <c r="H28" i="21" s="1"/>
  <c r="E25" i="20"/>
  <c r="E27" i="20" s="1"/>
  <c r="D28" i="21" s="1"/>
  <c r="L25" i="20"/>
  <c r="L27" i="20" s="1"/>
  <c r="K28" i="21" s="1"/>
  <c r="K25" i="20"/>
  <c r="K27" i="20" s="1"/>
  <c r="J28" i="21" s="1"/>
  <c r="N25" i="20"/>
  <c r="N27" i="20" s="1"/>
  <c r="M28" i="21" s="1"/>
  <c r="O25" i="20"/>
  <c r="H25" i="20"/>
  <c r="H27" i="20" s="1"/>
  <c r="G28" i="21" s="1"/>
  <c r="J25" i="20"/>
  <c r="J27" i="20" s="1"/>
  <c r="I28" i="21" s="1"/>
  <c r="M25" i="20"/>
  <c r="M27" i="20" s="1"/>
  <c r="L28" i="21" s="1"/>
  <c r="G25" i="20"/>
  <c r="G27" i="20" s="1"/>
  <c r="F28" i="21" s="1"/>
  <c r="F25" i="20"/>
  <c r="F27" i="20" s="1"/>
  <c r="E28" i="21" s="1"/>
  <c r="J52" i="20"/>
  <c r="J54" i="20" s="1"/>
  <c r="I86" i="21" s="1"/>
  <c r="L52" i="20"/>
  <c r="L54" i="20" s="1"/>
  <c r="K86" i="21" s="1"/>
  <c r="G52" i="20"/>
  <c r="G54" i="20" s="1"/>
  <c r="F86" i="21" s="1"/>
  <c r="O52" i="20"/>
  <c r="E52" i="20"/>
  <c r="E54" i="20" s="1"/>
  <c r="D86" i="21" s="1"/>
  <c r="K52" i="20"/>
  <c r="K54" i="20" s="1"/>
  <c r="J86" i="21" s="1"/>
  <c r="N52" i="20"/>
  <c r="N54" i="20" s="1"/>
  <c r="M86" i="21" s="1"/>
  <c r="F52" i="20"/>
  <c r="F54" i="20" s="1"/>
  <c r="E86" i="21" s="1"/>
  <c r="M52" i="20"/>
  <c r="M54" i="20" s="1"/>
  <c r="L86" i="21" s="1"/>
  <c r="H52" i="20"/>
  <c r="H54" i="20" s="1"/>
  <c r="G86" i="21" s="1"/>
  <c r="I52" i="20"/>
  <c r="I54" i="20" s="1"/>
  <c r="H86" i="21" s="1"/>
  <c r="L49" i="18"/>
  <c r="L50" i="18" s="1"/>
  <c r="K79" i="21" s="1"/>
  <c r="L40" i="18"/>
  <c r="L42" i="18" s="1"/>
  <c r="N40" i="17"/>
  <c r="J40" i="17"/>
  <c r="M40" i="17"/>
  <c r="L40" i="17"/>
  <c r="O40" i="17"/>
  <c r="K40" i="17"/>
  <c r="M17" i="20"/>
  <c r="L17" i="20"/>
  <c r="O17" i="20"/>
  <c r="K17" i="20"/>
  <c r="F17" i="20"/>
  <c r="N17" i="20"/>
  <c r="G17" i="20"/>
  <c r="E17" i="20"/>
  <c r="J17" i="20"/>
  <c r="L18" i="18"/>
  <c r="L16" i="18"/>
  <c r="O49" i="18"/>
  <c r="O50" i="18" s="1"/>
  <c r="N79" i="21" s="1"/>
  <c r="O40" i="18"/>
  <c r="O42" i="18" s="1"/>
  <c r="L65" i="20"/>
  <c r="L76" i="20"/>
  <c r="L77" i="20" s="1"/>
  <c r="K44" i="20"/>
  <c r="K45" i="20" s="1"/>
  <c r="K46" i="20" s="1"/>
  <c r="H18" i="18"/>
  <c r="H16" i="18"/>
  <c r="I17" i="18"/>
  <c r="I18" i="18"/>
  <c r="I16" i="18"/>
  <c r="M18" i="18"/>
  <c r="M17" i="18"/>
  <c r="M16" i="18"/>
  <c r="M40" i="18"/>
  <c r="M42" i="18" s="1"/>
  <c r="M49" i="18"/>
  <c r="M50" i="18" s="1"/>
  <c r="L79" i="21" s="1"/>
  <c r="N76" i="20"/>
  <c r="N77" i="20" s="1"/>
  <c r="N65" i="20"/>
  <c r="K13" i="17"/>
  <c r="N13" i="17"/>
  <c r="J13" i="17"/>
  <c r="M13" i="17"/>
  <c r="O13" i="17"/>
  <c r="H13" i="17"/>
  <c r="L13" i="17"/>
  <c r="I13" i="17"/>
  <c r="G46" i="17"/>
  <c r="G55" i="17"/>
  <c r="N49" i="18"/>
  <c r="N50" i="18" s="1"/>
  <c r="M79" i="21" s="1"/>
  <c r="N40" i="18"/>
  <c r="N42" i="18" s="1"/>
  <c r="M76" i="20"/>
  <c r="M77" i="20" s="1"/>
  <c r="M65" i="20"/>
  <c r="F19" i="18"/>
  <c r="E10" i="21" s="1"/>
  <c r="H46" i="17"/>
  <c r="H55" i="17"/>
  <c r="K18" i="18"/>
  <c r="K17" i="18"/>
  <c r="K16" i="18"/>
  <c r="J42" i="14"/>
  <c r="J35" i="14"/>
  <c r="J40" i="18"/>
  <c r="J42" i="18" s="1"/>
  <c r="J49" i="18"/>
  <c r="J50" i="18" s="1"/>
  <c r="I79" i="21" s="1"/>
  <c r="J41" i="20"/>
  <c r="J44" i="20" s="1"/>
  <c r="J45" i="20" s="1"/>
  <c r="J46" i="20" s="1"/>
  <c r="J40" i="20"/>
  <c r="K40" i="20"/>
  <c r="N40" i="20"/>
  <c r="L40" i="20"/>
  <c r="O40" i="20"/>
  <c r="M40" i="20"/>
  <c r="O76" i="20"/>
  <c r="O77" i="20" s="1"/>
  <c r="O65" i="20"/>
  <c r="N18" i="18"/>
  <c r="N17" i="18"/>
  <c r="N16" i="18"/>
  <c r="I46" i="17"/>
  <c r="I55" i="17"/>
  <c r="K40" i="18"/>
  <c r="K42" i="18" s="1"/>
  <c r="K49" i="18"/>
  <c r="K50" i="18" s="1"/>
  <c r="J79" i="21" s="1"/>
  <c r="F46" i="17"/>
  <c r="F55" i="17"/>
  <c r="N65" i="17"/>
  <c r="O65" i="17"/>
  <c r="L65" i="17"/>
  <c r="M65" i="17"/>
  <c r="G19" i="18"/>
  <c r="F10" i="21" s="1"/>
  <c r="E16" i="12"/>
  <c r="E18" i="12" s="1"/>
  <c r="D8" i="21" s="1"/>
  <c r="D10" i="31" s="1"/>
  <c r="G16" i="12"/>
  <c r="G18" i="12" s="1"/>
  <c r="F8" i="21" s="1"/>
  <c r="F10" i="31" s="1"/>
  <c r="F16" i="12"/>
  <c r="F18" i="12" s="1"/>
  <c r="E8" i="21" s="1"/>
  <c r="E14" i="14"/>
  <c r="E16" i="14" s="1"/>
  <c r="G14" i="14"/>
  <c r="G16" i="14" s="1"/>
  <c r="F14" i="14"/>
  <c r="F16" i="14" s="1"/>
  <c r="O15" i="12"/>
  <c r="O21" i="12"/>
  <c r="O22" i="12" s="1"/>
  <c r="N19" i="21" s="1"/>
  <c r="L66" i="14"/>
  <c r="L59" i="14"/>
  <c r="J21" i="12"/>
  <c r="J22" i="12" s="1"/>
  <c r="I19" i="21" s="1"/>
  <c r="J42" i="12"/>
  <c r="J45" i="12" s="1"/>
  <c r="J48" i="12"/>
  <c r="J49" i="12" s="1"/>
  <c r="I77" i="21" s="1"/>
  <c r="I21" i="12"/>
  <c r="I22" i="12" s="1"/>
  <c r="H19" i="21" s="1"/>
  <c r="F29" i="4"/>
  <c r="C29" i="4"/>
  <c r="H18" i="14"/>
  <c r="H11" i="14"/>
  <c r="L21" i="12"/>
  <c r="L22" i="12" s="1"/>
  <c r="K19" i="21" s="1"/>
  <c r="J22" i="14"/>
  <c r="J24" i="14" s="1"/>
  <c r="I29" i="21" s="1"/>
  <c r="I29" i="31" s="1"/>
  <c r="E22" i="14"/>
  <c r="E24" i="14" s="1"/>
  <c r="D29" i="21" s="1"/>
  <c r="D29" i="31" s="1"/>
  <c r="L22" i="14"/>
  <c r="L24" i="14" s="1"/>
  <c r="K29" i="21" s="1"/>
  <c r="K29" i="31" s="1"/>
  <c r="O22" i="14"/>
  <c r="H22" i="14"/>
  <c r="H24" i="14" s="1"/>
  <c r="G29" i="21" s="1"/>
  <c r="G29" i="31" s="1"/>
  <c r="K22" i="14"/>
  <c r="K24" i="14" s="1"/>
  <c r="J29" i="21" s="1"/>
  <c r="J29" i="31" s="1"/>
  <c r="N22" i="14"/>
  <c r="N24" i="14" s="1"/>
  <c r="M29" i="21" s="1"/>
  <c r="M29" i="31" s="1"/>
  <c r="I22" i="14"/>
  <c r="I24" i="14" s="1"/>
  <c r="H29" i="21" s="1"/>
  <c r="H29" i="31" s="1"/>
  <c r="M22" i="14"/>
  <c r="M24" i="14" s="1"/>
  <c r="L29" i="21" s="1"/>
  <c r="L29" i="31" s="1"/>
  <c r="G22" i="14"/>
  <c r="G24" i="14" s="1"/>
  <c r="F29" i="21" s="1"/>
  <c r="F29" i="31" s="1"/>
  <c r="F22" i="14"/>
  <c r="F24" i="14" s="1"/>
  <c r="E29" i="21" s="1"/>
  <c r="E29" i="31" s="1"/>
  <c r="O65" i="12"/>
  <c r="N65" i="12"/>
  <c r="M65" i="12"/>
  <c r="L65" i="12"/>
  <c r="H21" i="12"/>
  <c r="H22" i="12" s="1"/>
  <c r="G19" i="21" s="1"/>
  <c r="K42" i="12"/>
  <c r="K45" i="12" s="1"/>
  <c r="K21" i="12"/>
  <c r="K22" i="12" s="1"/>
  <c r="J19" i="21" s="1"/>
  <c r="M21" i="12"/>
  <c r="M22" i="12" s="1"/>
  <c r="L19" i="21" s="1"/>
  <c r="N21" i="12"/>
  <c r="N22" i="12" s="1"/>
  <c r="M19" i="21" s="1"/>
  <c r="L60" i="9"/>
  <c r="O60" i="9"/>
  <c r="O68" i="9" s="1"/>
  <c r="M60" i="9"/>
  <c r="D24" i="9"/>
  <c r="D14" i="9"/>
  <c r="N60" i="9"/>
  <c r="N68" i="9" s="1"/>
  <c r="K44" i="9"/>
  <c r="K37" i="9"/>
  <c r="J44" i="9"/>
  <c r="J37" i="9"/>
  <c r="E40" i="9"/>
  <c r="E42" i="9" s="1"/>
  <c r="F40" i="9"/>
  <c r="F42" i="9" s="1"/>
  <c r="H40" i="9"/>
  <c r="H42" i="9" s="1"/>
  <c r="I40" i="9"/>
  <c r="I42" i="9" s="1"/>
  <c r="G40" i="9"/>
  <c r="G42" i="9" s="1"/>
  <c r="E50" i="9"/>
  <c r="D85" i="21" s="1"/>
  <c r="M50" i="9"/>
  <c r="L85" i="21" s="1"/>
  <c r="L50" i="9"/>
  <c r="K85" i="21" s="1"/>
  <c r="N50" i="9"/>
  <c r="M85" i="21" s="1"/>
  <c r="G50" i="9"/>
  <c r="F85" i="21" s="1"/>
  <c r="J50" i="9"/>
  <c r="I85" i="21" s="1"/>
  <c r="K50" i="9"/>
  <c r="J85" i="21" s="1"/>
  <c r="I50" i="9"/>
  <c r="H85" i="21" s="1"/>
  <c r="H50" i="9"/>
  <c r="G85" i="21" s="1"/>
  <c r="L10" i="9"/>
  <c r="J10" i="9"/>
  <c r="I10" i="9"/>
  <c r="H60" i="31" s="1"/>
  <c r="K10" i="9"/>
  <c r="O10" i="9"/>
  <c r="N10" i="9"/>
  <c r="H10" i="9"/>
  <c r="G60" i="31" s="1"/>
  <c r="M10" i="9"/>
  <c r="L12" i="21" l="1"/>
  <c r="O16" i="18"/>
  <c r="O17" i="18"/>
  <c r="J16" i="18"/>
  <c r="J18" i="18"/>
  <c r="E10" i="31"/>
  <c r="J76" i="9"/>
  <c r="K65" i="31"/>
  <c r="M65" i="31"/>
  <c r="J18" i="9"/>
  <c r="I60" i="31"/>
  <c r="I65" i="31"/>
  <c r="J65" i="31"/>
  <c r="L18" i="9"/>
  <c r="K60" i="31"/>
  <c r="M18" i="9"/>
  <c r="L60" i="31"/>
  <c r="N65" i="31"/>
  <c r="E92" i="31" s="1"/>
  <c r="L65" i="31"/>
  <c r="N18" i="9"/>
  <c r="M60" i="31"/>
  <c r="O18" i="9"/>
  <c r="N60" i="31"/>
  <c r="K18" i="9"/>
  <c r="J60" i="31"/>
  <c r="E91" i="31"/>
  <c r="E88" i="31"/>
  <c r="K76" i="9"/>
  <c r="I27" i="31"/>
  <c r="H6" i="31"/>
  <c r="L27" i="31"/>
  <c r="H27" i="31"/>
  <c r="G27" i="31"/>
  <c r="M27" i="31"/>
  <c r="J27" i="31"/>
  <c r="E27" i="31"/>
  <c r="K27" i="31"/>
  <c r="F27" i="31"/>
  <c r="D27" i="31"/>
  <c r="Q120" i="21"/>
  <c r="Q122" i="21" s="1"/>
  <c r="Q125" i="21" s="1"/>
  <c r="Q126" i="21" s="1"/>
  <c r="I160" i="21" s="1"/>
  <c r="I93" i="21"/>
  <c r="K25" i="22"/>
  <c r="K15" i="22"/>
  <c r="O48" i="12"/>
  <c r="O49" i="12" s="1"/>
  <c r="N77" i="21" s="1"/>
  <c r="E93" i="21"/>
  <c r="M15" i="22"/>
  <c r="J25" i="22"/>
  <c r="J15" i="22"/>
  <c r="M48" i="12"/>
  <c r="M49" i="12" s="1"/>
  <c r="L77" i="21" s="1"/>
  <c r="N42" i="12"/>
  <c r="N45" i="12" s="1"/>
  <c r="N46" i="12" s="1"/>
  <c r="G12" i="21"/>
  <c r="G20" i="31" s="1"/>
  <c r="I25" i="22"/>
  <c r="L42" i="12"/>
  <c r="L45" i="12" s="1"/>
  <c r="L46" i="12" s="1"/>
  <c r="N25" i="22"/>
  <c r="N15" i="22"/>
  <c r="H15" i="22"/>
  <c r="K93" i="21"/>
  <c r="G93" i="21"/>
  <c r="F93" i="21"/>
  <c r="H119" i="21"/>
  <c r="H127" i="21" s="1"/>
  <c r="I76" i="9"/>
  <c r="I67" i="9"/>
  <c r="F119" i="21"/>
  <c r="F127" i="21" s="1"/>
  <c r="G67" i="9"/>
  <c r="G76" i="9"/>
  <c r="G119" i="21"/>
  <c r="G127" i="21" s="1"/>
  <c r="H67" i="9"/>
  <c r="H76" i="9"/>
  <c r="D119" i="21"/>
  <c r="D127" i="21" s="1"/>
  <c r="E67" i="9"/>
  <c r="E76" i="9"/>
  <c r="E119" i="21"/>
  <c r="E127" i="21" s="1"/>
  <c r="F76" i="9"/>
  <c r="F67" i="9"/>
  <c r="K67" i="9"/>
  <c r="J119" i="21"/>
  <c r="J127" i="21" s="1"/>
  <c r="J67" i="9"/>
  <c r="I119" i="21"/>
  <c r="I127" i="21" s="1"/>
  <c r="D93" i="21"/>
  <c r="M93" i="21"/>
  <c r="L93" i="21"/>
  <c r="E47" i="18"/>
  <c r="H93" i="21"/>
  <c r="E56" i="18"/>
  <c r="J93" i="21"/>
  <c r="E17" i="14"/>
  <c r="D7" i="21"/>
  <c r="D8" i="31" s="1"/>
  <c r="O38" i="22"/>
  <c r="N70" i="21"/>
  <c r="N20" i="31" s="1"/>
  <c r="O45" i="22"/>
  <c r="M83" i="20"/>
  <c r="L131" i="21"/>
  <c r="I56" i="18"/>
  <c r="H68" i="21"/>
  <c r="K46" i="12"/>
  <c r="J66" i="21"/>
  <c r="F47" i="18"/>
  <c r="E68" i="21"/>
  <c r="E13" i="31" s="1"/>
  <c r="O46" i="12"/>
  <c r="N66" i="21"/>
  <c r="K47" i="20"/>
  <c r="J64" i="21"/>
  <c r="H47" i="18"/>
  <c r="E20" i="18"/>
  <c r="D10" i="21"/>
  <c r="D13" i="31" s="1"/>
  <c r="I70" i="21"/>
  <c r="I20" i="31" s="1"/>
  <c r="J38" i="22"/>
  <c r="J45" i="22"/>
  <c r="L83" i="20"/>
  <c r="K131" i="21"/>
  <c r="H56" i="18"/>
  <c r="G47" i="18"/>
  <c r="F68" i="21"/>
  <c r="F13" i="31" s="1"/>
  <c r="M46" i="12"/>
  <c r="L66" i="21"/>
  <c r="J47" i="20"/>
  <c r="I64" i="21"/>
  <c r="L47" i="20"/>
  <c r="K64" i="21"/>
  <c r="L38" i="22"/>
  <c r="K70" i="21"/>
  <c r="K20" i="31" s="1"/>
  <c r="L45" i="22"/>
  <c r="J46" i="12"/>
  <c r="I66" i="21"/>
  <c r="F17" i="14"/>
  <c r="E7" i="21"/>
  <c r="E8" i="31" s="1"/>
  <c r="O83" i="20"/>
  <c r="N131" i="21"/>
  <c r="M45" i="22"/>
  <c r="L70" i="21"/>
  <c r="M38" i="22"/>
  <c r="G17" i="14"/>
  <c r="F7" i="21"/>
  <c r="F8" i="31" s="1"/>
  <c r="N83" i="20"/>
  <c r="M131" i="21"/>
  <c r="J70" i="21"/>
  <c r="J20" i="31" s="1"/>
  <c r="K38" i="22"/>
  <c r="K45" i="22"/>
  <c r="N45" i="22"/>
  <c r="M70" i="21"/>
  <c r="M20" i="31" s="1"/>
  <c r="N38" i="22"/>
  <c r="G43" i="9"/>
  <c r="F63" i="21"/>
  <c r="I43" i="9"/>
  <c r="H63" i="21"/>
  <c r="H43" i="9"/>
  <c r="G63" i="21"/>
  <c r="G71" i="21" s="1"/>
  <c r="F43" i="9"/>
  <c r="E63" i="21"/>
  <c r="E43" i="9"/>
  <c r="D63" i="21"/>
  <c r="D71" i="21" s="1"/>
  <c r="E29" i="18"/>
  <c r="F56" i="18"/>
  <c r="I19" i="18"/>
  <c r="I20" i="18" s="1"/>
  <c r="K19" i="18"/>
  <c r="M19" i="18"/>
  <c r="M20" i="18" s="1"/>
  <c r="N19" i="18"/>
  <c r="M10" i="21" s="1"/>
  <c r="L49" i="20"/>
  <c r="L50" i="20" s="1"/>
  <c r="L38" i="20"/>
  <c r="J44" i="18"/>
  <c r="J45" i="18"/>
  <c r="J43" i="18"/>
  <c r="F20" i="18"/>
  <c r="F29" i="18"/>
  <c r="L21" i="17"/>
  <c r="L22" i="17" s="1"/>
  <c r="K20" i="21" s="1"/>
  <c r="F18" i="20"/>
  <c r="F19" i="20" s="1"/>
  <c r="E6" i="21" s="1"/>
  <c r="E6" i="31" s="1"/>
  <c r="M48" i="17"/>
  <c r="M49" i="17" s="1"/>
  <c r="L78" i="21" s="1"/>
  <c r="M42" i="17"/>
  <c r="M45" i="17" s="1"/>
  <c r="L67" i="21" s="1"/>
  <c r="J19" i="18"/>
  <c r="I10" i="21" s="1"/>
  <c r="O47" i="20"/>
  <c r="O53" i="20"/>
  <c r="O54" i="20" s="1"/>
  <c r="N86" i="21" s="1"/>
  <c r="O11" i="20"/>
  <c r="O22" i="20"/>
  <c r="O23" i="20" s="1"/>
  <c r="N17" i="21" s="1"/>
  <c r="O19" i="18"/>
  <c r="N10" i="21" s="1"/>
  <c r="N49" i="20"/>
  <c r="N50" i="20" s="1"/>
  <c r="M75" i="21" s="1"/>
  <c r="N38" i="20"/>
  <c r="K36" i="14"/>
  <c r="M36" i="14"/>
  <c r="L36" i="14"/>
  <c r="O36" i="14"/>
  <c r="N36" i="14"/>
  <c r="J36" i="14"/>
  <c r="H21" i="17"/>
  <c r="H22" i="17" s="1"/>
  <c r="G20" i="21" s="1"/>
  <c r="H19" i="18"/>
  <c r="G10" i="21" s="1"/>
  <c r="G13" i="31" s="1"/>
  <c r="L19" i="18"/>
  <c r="K10" i="21" s="1"/>
  <c r="K18" i="20"/>
  <c r="K19" i="20" s="1"/>
  <c r="J6" i="21" s="1"/>
  <c r="J42" i="17"/>
  <c r="J45" i="17" s="1"/>
  <c r="I67" i="21" s="1"/>
  <c r="J48" i="17"/>
  <c r="J49" i="17" s="1"/>
  <c r="I78" i="21" s="1"/>
  <c r="H47" i="20"/>
  <c r="H56" i="20"/>
  <c r="H11" i="20"/>
  <c r="G61" i="31" s="1"/>
  <c r="H22" i="20"/>
  <c r="H23" i="20" s="1"/>
  <c r="G17" i="21" s="1"/>
  <c r="F42" i="4"/>
  <c r="G42" i="4" s="1"/>
  <c r="F41" i="4"/>
  <c r="G41" i="4" s="1"/>
  <c r="G29" i="18"/>
  <c r="G20" i="18"/>
  <c r="K49" i="20"/>
  <c r="K50" i="20" s="1"/>
  <c r="K38" i="20"/>
  <c r="O21" i="17"/>
  <c r="O22" i="17" s="1"/>
  <c r="N20" i="21" s="1"/>
  <c r="M44" i="18"/>
  <c r="M45" i="18"/>
  <c r="M43" i="18"/>
  <c r="O18" i="20"/>
  <c r="O19" i="20" s="1"/>
  <c r="N6" i="21" s="1"/>
  <c r="N6" i="31" s="1"/>
  <c r="N42" i="17"/>
  <c r="N45" i="17" s="1"/>
  <c r="M67" i="21" s="1"/>
  <c r="N48" i="17"/>
  <c r="N49" i="17" s="1"/>
  <c r="M78" i="21" s="1"/>
  <c r="F56" i="20"/>
  <c r="F47" i="20"/>
  <c r="I11" i="20"/>
  <c r="H61" i="31" s="1"/>
  <c r="I22" i="20"/>
  <c r="I23" i="20" s="1"/>
  <c r="M73" i="17"/>
  <c r="M74" i="17" s="1"/>
  <c r="L134" i="21" s="1"/>
  <c r="M67" i="17"/>
  <c r="M70" i="17" s="1"/>
  <c r="L123" i="21" s="1"/>
  <c r="L14" i="31" s="1"/>
  <c r="J49" i="20"/>
  <c r="J50" i="20" s="1"/>
  <c r="J38" i="20"/>
  <c r="N43" i="18"/>
  <c r="N44" i="18"/>
  <c r="N45" i="18"/>
  <c r="M21" i="17"/>
  <c r="M22" i="17" s="1"/>
  <c r="L20" i="21" s="1"/>
  <c r="L18" i="20"/>
  <c r="L19" i="20" s="1"/>
  <c r="K6" i="21" s="1"/>
  <c r="L45" i="18"/>
  <c r="L44" i="18"/>
  <c r="L43" i="18"/>
  <c r="G47" i="20"/>
  <c r="G56" i="20"/>
  <c r="L11" i="20"/>
  <c r="L22" i="20"/>
  <c r="L23" i="20" s="1"/>
  <c r="K17" i="21" s="1"/>
  <c r="L67" i="17"/>
  <c r="L70" i="17" s="1"/>
  <c r="K123" i="21" s="1"/>
  <c r="K14" i="31" s="1"/>
  <c r="L73" i="17"/>
  <c r="L74" i="17" s="1"/>
  <c r="K134" i="21" s="1"/>
  <c r="J21" i="17"/>
  <c r="J22" i="17" s="1"/>
  <c r="I20" i="21" s="1"/>
  <c r="J18" i="20"/>
  <c r="J19" i="20" s="1"/>
  <c r="I6" i="21" s="1"/>
  <c r="I6" i="31" s="1"/>
  <c r="M18" i="20"/>
  <c r="M19" i="20" s="1"/>
  <c r="L6" i="21" s="1"/>
  <c r="L6" i="31" s="1"/>
  <c r="N45" i="20"/>
  <c r="N46" i="20" s="1"/>
  <c r="J11" i="20"/>
  <c r="J22" i="20"/>
  <c r="J23" i="20" s="1"/>
  <c r="I17" i="21" s="1"/>
  <c r="I20" i="20"/>
  <c r="O73" i="17"/>
  <c r="O74" i="17" s="1"/>
  <c r="N134" i="21" s="1"/>
  <c r="O67" i="17"/>
  <c r="O70" i="17" s="1"/>
  <c r="N123" i="21" s="1"/>
  <c r="N14" i="31" s="1"/>
  <c r="K44" i="18"/>
  <c r="K45" i="18"/>
  <c r="K43" i="18"/>
  <c r="N21" i="17"/>
  <c r="N22" i="17" s="1"/>
  <c r="M20" i="21" s="1"/>
  <c r="E18" i="20"/>
  <c r="E19" i="20" s="1"/>
  <c r="D6" i="21" s="1"/>
  <c r="D6" i="31" s="1"/>
  <c r="K48" i="17"/>
  <c r="K49" i="17" s="1"/>
  <c r="J78" i="21" s="1"/>
  <c r="K42" i="17"/>
  <c r="K45" i="17" s="1"/>
  <c r="J67" i="21" s="1"/>
  <c r="I47" i="20"/>
  <c r="I56" i="20"/>
  <c r="M11" i="20"/>
  <c r="M22" i="20"/>
  <c r="M23" i="20" s="1"/>
  <c r="L17" i="21" s="1"/>
  <c r="N67" i="17"/>
  <c r="N70" i="17" s="1"/>
  <c r="M123" i="21" s="1"/>
  <c r="M14" i="31" s="1"/>
  <c r="N73" i="17"/>
  <c r="N74" i="17" s="1"/>
  <c r="M134" i="21" s="1"/>
  <c r="M49" i="20"/>
  <c r="M50" i="20" s="1"/>
  <c r="M38" i="20"/>
  <c r="K21" i="17"/>
  <c r="K22" i="17" s="1"/>
  <c r="J20" i="21" s="1"/>
  <c r="G18" i="20"/>
  <c r="G19" i="20" s="1"/>
  <c r="F6" i="21" s="1"/>
  <c r="F6" i="31" s="1"/>
  <c r="O42" i="17"/>
  <c r="O45" i="17" s="1"/>
  <c r="N67" i="21" s="1"/>
  <c r="O48" i="17"/>
  <c r="O49" i="17" s="1"/>
  <c r="N78" i="21" s="1"/>
  <c r="E56" i="20"/>
  <c r="E47" i="20"/>
  <c r="K11" i="20"/>
  <c r="K22" i="20"/>
  <c r="K23" i="20" s="1"/>
  <c r="J17" i="21" s="1"/>
  <c r="O49" i="20"/>
  <c r="O50" i="20" s="1"/>
  <c r="O38" i="20"/>
  <c r="I21" i="17"/>
  <c r="I22" i="17" s="1"/>
  <c r="H20" i="21" s="1"/>
  <c r="O43" i="18"/>
  <c r="O45" i="18"/>
  <c r="O44" i="18"/>
  <c r="N18" i="20"/>
  <c r="N19" i="20" s="1"/>
  <c r="M6" i="21" s="1"/>
  <c r="L42" i="17"/>
  <c r="L45" i="17" s="1"/>
  <c r="K67" i="21" s="1"/>
  <c r="L48" i="17"/>
  <c r="L49" i="17" s="1"/>
  <c r="K78" i="21" s="1"/>
  <c r="M47" i="20"/>
  <c r="N11" i="20"/>
  <c r="N22" i="20"/>
  <c r="N23" i="20" s="1"/>
  <c r="M17" i="21" s="1"/>
  <c r="H18" i="20"/>
  <c r="H19" i="20" s="1"/>
  <c r="G6" i="21" s="1"/>
  <c r="G6" i="31" s="1"/>
  <c r="G30" i="12"/>
  <c r="G19" i="12"/>
  <c r="F19" i="12"/>
  <c r="E30" i="12"/>
  <c r="E19" i="12"/>
  <c r="J55" i="12"/>
  <c r="K55" i="12"/>
  <c r="L68" i="12"/>
  <c r="L71" i="12" s="1"/>
  <c r="L74" i="12"/>
  <c r="L75" i="12" s="1"/>
  <c r="K133" i="21" s="1"/>
  <c r="M68" i="12"/>
  <c r="M71" i="12" s="1"/>
  <c r="M74" i="12"/>
  <c r="M75" i="12" s="1"/>
  <c r="L133" i="21" s="1"/>
  <c r="N68" i="12"/>
  <c r="N71" i="12" s="1"/>
  <c r="N74" i="12"/>
  <c r="N75" i="12" s="1"/>
  <c r="M133" i="21" s="1"/>
  <c r="O68" i="12"/>
  <c r="O71" i="12" s="1"/>
  <c r="N122" i="21" s="1"/>
  <c r="O74" i="12"/>
  <c r="O75" i="12" s="1"/>
  <c r="N133" i="21" s="1"/>
  <c r="L12" i="14"/>
  <c r="M12" i="14"/>
  <c r="K12" i="14"/>
  <c r="J12" i="14"/>
  <c r="H12" i="14"/>
  <c r="I12" i="14"/>
  <c r="O12" i="14"/>
  <c r="N12" i="14"/>
  <c r="M62" i="4"/>
  <c r="M66" i="4" s="1"/>
  <c r="N62" i="4"/>
  <c r="N66" i="4" s="1"/>
  <c r="O62" i="4"/>
  <c r="O66" i="4" s="1"/>
  <c r="F26" i="14"/>
  <c r="G26" i="14"/>
  <c r="O52" i="12"/>
  <c r="O53" i="12" s="1"/>
  <c r="O60" i="14"/>
  <c r="N60" i="14"/>
  <c r="L60" i="14"/>
  <c r="M60" i="14"/>
  <c r="E26" i="14"/>
  <c r="N24" i="9"/>
  <c r="N26" i="9" s="1"/>
  <c r="M27" i="21" s="1"/>
  <c r="E24" i="9"/>
  <c r="E26" i="9" s="1"/>
  <c r="D27" i="21" s="1"/>
  <c r="I24" i="9"/>
  <c r="I26" i="9" s="1"/>
  <c r="H27" i="21" s="1"/>
  <c r="O24" i="9"/>
  <c r="M24" i="9"/>
  <c r="M26" i="9" s="1"/>
  <c r="L27" i="21" s="1"/>
  <c r="L24" i="9"/>
  <c r="L26" i="9" s="1"/>
  <c r="K27" i="21" s="1"/>
  <c r="G24" i="9"/>
  <c r="G26" i="9" s="1"/>
  <c r="F27" i="21" s="1"/>
  <c r="H24" i="9"/>
  <c r="H26" i="9" s="1"/>
  <c r="G27" i="21" s="1"/>
  <c r="K24" i="9"/>
  <c r="K26" i="9" s="1"/>
  <c r="J27" i="21" s="1"/>
  <c r="F24" i="9"/>
  <c r="F26" i="9" s="1"/>
  <c r="E27" i="21" s="1"/>
  <c r="E26" i="31" s="1"/>
  <c r="J24" i="9"/>
  <c r="J26" i="9" s="1"/>
  <c r="I27" i="21" s="1"/>
  <c r="E52" i="9"/>
  <c r="G52" i="9"/>
  <c r="J38" i="9"/>
  <c r="J40" i="9" s="1"/>
  <c r="N38" i="9"/>
  <c r="M38" i="9"/>
  <c r="K38" i="9"/>
  <c r="L38" i="9"/>
  <c r="M68" i="9"/>
  <c r="M61" i="9"/>
  <c r="O38" i="9"/>
  <c r="I52" i="9"/>
  <c r="H52" i="9"/>
  <c r="L68" i="9"/>
  <c r="L61" i="9"/>
  <c r="F52" i="9"/>
  <c r="E14" i="9"/>
  <c r="E16" i="9" s="1"/>
  <c r="G14" i="9"/>
  <c r="G16" i="9" s="1"/>
  <c r="F14" i="9"/>
  <c r="F16" i="9" s="1"/>
  <c r="I11" i="9"/>
  <c r="I18" i="9"/>
  <c r="H18" i="9"/>
  <c r="H11" i="9"/>
  <c r="L20" i="31" l="1"/>
  <c r="J61" i="31"/>
  <c r="M61" i="31"/>
  <c r="K6" i="31"/>
  <c r="K61" i="31"/>
  <c r="I61" i="31"/>
  <c r="L61" i="31"/>
  <c r="N61" i="31"/>
  <c r="E86" i="31" s="1"/>
  <c r="I35" i="21"/>
  <c r="I26" i="31"/>
  <c r="I41" i="31" s="1"/>
  <c r="I47" i="31" s="1"/>
  <c r="H35" i="21"/>
  <c r="H26" i="31"/>
  <c r="H41" i="31" s="1"/>
  <c r="H47" i="31" s="1"/>
  <c r="D35" i="21"/>
  <c r="D26" i="31"/>
  <c r="J35" i="21"/>
  <c r="J26" i="31"/>
  <c r="J41" i="31" s="1"/>
  <c r="J47" i="31" s="1"/>
  <c r="M35" i="21"/>
  <c r="M26" i="31"/>
  <c r="M41" i="31" s="1"/>
  <c r="M47" i="31" s="1"/>
  <c r="J6" i="31"/>
  <c r="F35" i="21"/>
  <c r="F26" i="31"/>
  <c r="F41" i="31" s="1"/>
  <c r="F47" i="31" s="1"/>
  <c r="G35" i="21"/>
  <c r="G26" i="31"/>
  <c r="G41" i="31" s="1"/>
  <c r="G47" i="31" s="1"/>
  <c r="K35" i="21"/>
  <c r="K26" i="31"/>
  <c r="K41" i="31" s="1"/>
  <c r="K47" i="31" s="1"/>
  <c r="L35" i="21"/>
  <c r="L26" i="31"/>
  <c r="L41" i="31" s="1"/>
  <c r="L47" i="31" s="1"/>
  <c r="E153" i="21"/>
  <c r="E157" i="21" s="1"/>
  <c r="E161" i="21" s="1"/>
  <c r="E171" i="21" s="1"/>
  <c r="F153" i="21"/>
  <c r="F157" i="21" s="1"/>
  <c r="F161" i="21" s="1"/>
  <c r="F171" i="21" s="1"/>
  <c r="I153" i="21"/>
  <c r="I157" i="21" s="1"/>
  <c r="I161" i="21" s="1"/>
  <c r="I162" i="21" s="1"/>
  <c r="D153" i="21"/>
  <c r="D157" i="21" s="1"/>
  <c r="D161" i="21" s="1"/>
  <c r="D171" i="21" s="1"/>
  <c r="J153" i="21"/>
  <c r="J157" i="21" s="1"/>
  <c r="J161" i="21" s="1"/>
  <c r="J162" i="21" s="1"/>
  <c r="H153" i="21"/>
  <c r="H157" i="21" s="1"/>
  <c r="H161" i="21" s="1"/>
  <c r="H171" i="21" s="1"/>
  <c r="G153" i="21"/>
  <c r="G157" i="21" s="1"/>
  <c r="G161" i="21" s="1"/>
  <c r="G171" i="21" s="1"/>
  <c r="Q64" i="21"/>
  <c r="Q66" i="21" s="1"/>
  <c r="Q69" i="21" s="1"/>
  <c r="Q70" i="21" s="1"/>
  <c r="G104" i="21" s="1"/>
  <c r="Q27" i="21"/>
  <c r="M55" i="12"/>
  <c r="N55" i="12"/>
  <c r="M66" i="21"/>
  <c r="L55" i="12"/>
  <c r="K66" i="21"/>
  <c r="G97" i="21"/>
  <c r="G101" i="21" s="1"/>
  <c r="D97" i="21"/>
  <c r="D101" i="21" s="1"/>
  <c r="D105" i="21" s="1"/>
  <c r="H71" i="21"/>
  <c r="F71" i="21"/>
  <c r="D83" i="20"/>
  <c r="I29" i="20"/>
  <c r="H17" i="21"/>
  <c r="N72" i="12"/>
  <c r="M122" i="21"/>
  <c r="N47" i="20"/>
  <c r="M64" i="21"/>
  <c r="Q85" i="21" s="1"/>
  <c r="O56" i="20"/>
  <c r="N75" i="21"/>
  <c r="M72" i="12"/>
  <c r="L122" i="21"/>
  <c r="L56" i="20"/>
  <c r="K75" i="21"/>
  <c r="K56" i="20"/>
  <c r="J75" i="21"/>
  <c r="E71" i="21"/>
  <c r="L72" i="12"/>
  <c r="K122" i="21"/>
  <c r="M56" i="20"/>
  <c r="L75" i="21"/>
  <c r="J56" i="20"/>
  <c r="I75" i="21"/>
  <c r="M29" i="18"/>
  <c r="L10" i="21"/>
  <c r="O55" i="12"/>
  <c r="N88" i="21"/>
  <c r="K29" i="18"/>
  <c r="J10" i="21"/>
  <c r="G43" i="4"/>
  <c r="I9" i="8" s="1"/>
  <c r="L9" i="8" s="1"/>
  <c r="I29" i="18"/>
  <c r="H10" i="21"/>
  <c r="H13" i="31" s="1"/>
  <c r="E17" i="9"/>
  <c r="D5" i="21"/>
  <c r="D5" i="31" s="1"/>
  <c r="G17" i="9"/>
  <c r="F5" i="21"/>
  <c r="F5" i="31" s="1"/>
  <c r="F17" i="9"/>
  <c r="E5" i="21"/>
  <c r="E5" i="31" s="1"/>
  <c r="K20" i="18"/>
  <c r="L46" i="18"/>
  <c r="K46" i="18"/>
  <c r="M46" i="18"/>
  <c r="J46" i="18"/>
  <c r="O46" i="18"/>
  <c r="N46" i="18"/>
  <c r="L29" i="20"/>
  <c r="L20" i="20"/>
  <c r="G29" i="20"/>
  <c r="G20" i="20"/>
  <c r="N29" i="20"/>
  <c r="N20" i="20"/>
  <c r="H29" i="20"/>
  <c r="H20" i="20"/>
  <c r="M29" i="20"/>
  <c r="M20" i="20"/>
  <c r="O26" i="20"/>
  <c r="O27" i="20" s="1"/>
  <c r="O20" i="20"/>
  <c r="N56" i="20"/>
  <c r="J29" i="18"/>
  <c r="J20" i="18"/>
  <c r="J29" i="20"/>
  <c r="J20" i="20"/>
  <c r="J43" i="14"/>
  <c r="J44" i="14" s="1"/>
  <c r="I76" i="21" s="1"/>
  <c r="J38" i="14"/>
  <c r="J40" i="14" s="1"/>
  <c r="I65" i="21" s="1"/>
  <c r="O26" i="18"/>
  <c r="O27" i="18" s="1"/>
  <c r="O20" i="18"/>
  <c r="M46" i="17"/>
  <c r="M55" i="17"/>
  <c r="J46" i="17"/>
  <c r="J55" i="17"/>
  <c r="N43" i="14"/>
  <c r="N44" i="14" s="1"/>
  <c r="M76" i="21" s="1"/>
  <c r="N38" i="14"/>
  <c r="N40" i="14" s="1"/>
  <c r="M65" i="21" s="1"/>
  <c r="K29" i="20"/>
  <c r="K20" i="20"/>
  <c r="O43" i="14"/>
  <c r="O44" i="14" s="1"/>
  <c r="N76" i="21" s="1"/>
  <c r="O38" i="14"/>
  <c r="O40" i="14" s="1"/>
  <c r="N65" i="21" s="1"/>
  <c r="F20" i="20"/>
  <c r="F29" i="20"/>
  <c r="L46" i="17"/>
  <c r="L55" i="17"/>
  <c r="O46" i="17"/>
  <c r="O52" i="17"/>
  <c r="O53" i="17" s="1"/>
  <c r="K46" i="17"/>
  <c r="K55" i="17"/>
  <c r="L43" i="14"/>
  <c r="L44" i="14" s="1"/>
  <c r="K76" i="21" s="1"/>
  <c r="L38" i="14"/>
  <c r="L40" i="14" s="1"/>
  <c r="K65" i="21" s="1"/>
  <c r="M71" i="17"/>
  <c r="M80" i="17"/>
  <c r="L20" i="18"/>
  <c r="L29" i="18"/>
  <c r="M43" i="14"/>
  <c r="M44" i="14" s="1"/>
  <c r="L76" i="21" s="1"/>
  <c r="M38" i="14"/>
  <c r="M40" i="14" s="1"/>
  <c r="L65" i="21" s="1"/>
  <c r="E29" i="20"/>
  <c r="E20" i="20"/>
  <c r="L71" i="17"/>
  <c r="L80" i="17"/>
  <c r="N46" i="17"/>
  <c r="N55" i="17"/>
  <c r="H29" i="18"/>
  <c r="H20" i="18"/>
  <c r="K43" i="14"/>
  <c r="K44" i="14" s="1"/>
  <c r="J76" i="21" s="1"/>
  <c r="K38" i="14"/>
  <c r="K40" i="14" s="1"/>
  <c r="J65" i="21" s="1"/>
  <c r="N71" i="17"/>
  <c r="N80" i="17"/>
  <c r="O71" i="17"/>
  <c r="O77" i="17"/>
  <c r="O78" i="17" s="1"/>
  <c r="N29" i="18"/>
  <c r="N20" i="18"/>
  <c r="O78" i="12"/>
  <c r="O79" i="12" s="1"/>
  <c r="O72" i="12"/>
  <c r="H16" i="12"/>
  <c r="H18" i="12" s="1"/>
  <c r="G8" i="21" s="1"/>
  <c r="G10" i="31" s="1"/>
  <c r="N16" i="12"/>
  <c r="N18" i="12" s="1"/>
  <c r="M8" i="21" s="1"/>
  <c r="I16" i="12"/>
  <c r="I18" i="12" s="1"/>
  <c r="H8" i="21" s="1"/>
  <c r="H10" i="31" s="1"/>
  <c r="J16" i="12"/>
  <c r="J18" i="12" s="1"/>
  <c r="I8" i="21" s="1"/>
  <c r="I10" i="31" s="1"/>
  <c r="O16" i="12"/>
  <c r="O18" i="12" s="1"/>
  <c r="N8" i="21" s="1"/>
  <c r="N10" i="31" s="1"/>
  <c r="L16" i="12"/>
  <c r="L18" i="12" s="1"/>
  <c r="K8" i="21" s="1"/>
  <c r="K16" i="12"/>
  <c r="K18" i="12" s="1"/>
  <c r="J8" i="21" s="1"/>
  <c r="J10" i="31" s="1"/>
  <c r="M16" i="12"/>
  <c r="M18" i="12" s="1"/>
  <c r="L8" i="21" s="1"/>
  <c r="M81" i="12"/>
  <c r="L81" i="12"/>
  <c r="N81" i="12"/>
  <c r="O67" i="14"/>
  <c r="O68" i="14" s="1"/>
  <c r="N132" i="21" s="1"/>
  <c r="O62" i="14"/>
  <c r="O64" i="14" s="1"/>
  <c r="O67" i="4"/>
  <c r="J19" i="14"/>
  <c r="J20" i="14" s="1"/>
  <c r="I18" i="21" s="1"/>
  <c r="J14" i="14"/>
  <c r="J16" i="14" s="1"/>
  <c r="M19" i="14"/>
  <c r="M20" i="14" s="1"/>
  <c r="L18" i="21" s="1"/>
  <c r="M14" i="14"/>
  <c r="M16" i="14" s="1"/>
  <c r="K19" i="14"/>
  <c r="K20" i="14" s="1"/>
  <c r="J18" i="21" s="1"/>
  <c r="K14" i="14"/>
  <c r="K16" i="14" s="1"/>
  <c r="L19" i="14"/>
  <c r="L20" i="14" s="1"/>
  <c r="K18" i="21" s="1"/>
  <c r="L14" i="14"/>
  <c r="L16" i="14" s="1"/>
  <c r="N19" i="14"/>
  <c r="N20" i="14" s="1"/>
  <c r="M18" i="21" s="1"/>
  <c r="N14" i="14"/>
  <c r="N16" i="14" s="1"/>
  <c r="O19" i="14"/>
  <c r="O20" i="14" s="1"/>
  <c r="N18" i="21" s="1"/>
  <c r="O14" i="14"/>
  <c r="O16" i="14" s="1"/>
  <c r="M67" i="14"/>
  <c r="M68" i="14" s="1"/>
  <c r="L132" i="21" s="1"/>
  <c r="M62" i="14"/>
  <c r="M64" i="14" s="1"/>
  <c r="L67" i="14"/>
  <c r="L68" i="14" s="1"/>
  <c r="K132" i="21" s="1"/>
  <c r="L62" i="14"/>
  <c r="L64" i="14" s="1"/>
  <c r="I19" i="14"/>
  <c r="I20" i="14" s="1"/>
  <c r="H18" i="21" s="1"/>
  <c r="I14" i="14"/>
  <c r="I16" i="14" s="1"/>
  <c r="N67" i="14"/>
  <c r="N68" i="14" s="1"/>
  <c r="M132" i="21" s="1"/>
  <c r="N62" i="14"/>
  <c r="N64" i="14" s="1"/>
  <c r="H19" i="14"/>
  <c r="H20" i="14" s="1"/>
  <c r="G18" i="21" s="1"/>
  <c r="H14" i="14"/>
  <c r="H16" i="14" s="1"/>
  <c r="G28" i="9"/>
  <c r="L62" i="9"/>
  <c r="N62" i="9"/>
  <c r="M62" i="9"/>
  <c r="L45" i="9"/>
  <c r="L46" i="9" s="1"/>
  <c r="K74" i="21" s="1"/>
  <c r="L40" i="9"/>
  <c r="L42" i="9" s="1"/>
  <c r="F28" i="9"/>
  <c r="O45" i="9"/>
  <c r="O46" i="9" s="1"/>
  <c r="N74" i="21" s="1"/>
  <c r="O40" i="9"/>
  <c r="O42" i="9" s="1"/>
  <c r="N63" i="21" s="1"/>
  <c r="K45" i="9"/>
  <c r="K46" i="9" s="1"/>
  <c r="J74" i="21" s="1"/>
  <c r="K40" i="9"/>
  <c r="K42" i="9" s="1"/>
  <c r="M45" i="9"/>
  <c r="M46" i="9" s="1"/>
  <c r="L74" i="21" s="1"/>
  <c r="M40" i="9"/>
  <c r="M42" i="9" s="1"/>
  <c r="N45" i="9"/>
  <c r="N46" i="9" s="1"/>
  <c r="M74" i="21" s="1"/>
  <c r="N40" i="9"/>
  <c r="N42" i="9" s="1"/>
  <c r="O62" i="9"/>
  <c r="E28" i="9"/>
  <c r="J45" i="9"/>
  <c r="J46" i="9" s="1"/>
  <c r="I74" i="21" s="1"/>
  <c r="J42" i="9"/>
  <c r="M12" i="9"/>
  <c r="M14" i="9" s="1"/>
  <c r="O12" i="9"/>
  <c r="N12" i="9"/>
  <c r="I12" i="9"/>
  <c r="H12" i="9"/>
  <c r="K12" i="9"/>
  <c r="L12" i="9"/>
  <c r="J12" i="9"/>
  <c r="K10" i="31" l="1"/>
  <c r="D41" i="31"/>
  <c r="E85" i="31"/>
  <c r="L10" i="31"/>
  <c r="M6" i="31"/>
  <c r="M10" i="31"/>
  <c r="G105" i="21"/>
  <c r="G106" i="21" s="1"/>
  <c r="I171" i="21"/>
  <c r="J171" i="21"/>
  <c r="E97" i="21"/>
  <c r="E101" i="21" s="1"/>
  <c r="E105" i="21" s="1"/>
  <c r="F97" i="21"/>
  <c r="F101" i="21" s="1"/>
  <c r="F105" i="21" s="1"/>
  <c r="H97" i="21"/>
  <c r="H101" i="21" s="1"/>
  <c r="H105" i="21" s="1"/>
  <c r="H106" i="21" s="1"/>
  <c r="D115" i="21"/>
  <c r="D55" i="12"/>
  <c r="I6" i="8"/>
  <c r="L6" i="8" s="1"/>
  <c r="N6" i="8" s="1"/>
  <c r="U6" i="8" s="1"/>
  <c r="L82" i="21"/>
  <c r="I8" i="8"/>
  <c r="L8" i="8" s="1"/>
  <c r="N8" i="8" s="1"/>
  <c r="U8" i="8" s="1"/>
  <c r="D15" i="17"/>
  <c r="E15" i="17" s="1"/>
  <c r="E18" i="17" s="1"/>
  <c r="D9" i="21" s="1"/>
  <c r="K82" i="21"/>
  <c r="J82" i="21"/>
  <c r="I82" i="21"/>
  <c r="N82" i="21"/>
  <c r="D56" i="20"/>
  <c r="J17" i="14"/>
  <c r="I7" i="21"/>
  <c r="I8" i="31" s="1"/>
  <c r="O81" i="12"/>
  <c r="D81" i="12" s="1"/>
  <c r="N144" i="21"/>
  <c r="K47" i="18"/>
  <c r="J68" i="21"/>
  <c r="J13" i="31" s="1"/>
  <c r="L65" i="14"/>
  <c r="K121" i="21"/>
  <c r="L56" i="18"/>
  <c r="K68" i="21"/>
  <c r="K13" i="31" s="1"/>
  <c r="I17" i="14"/>
  <c r="H7" i="21"/>
  <c r="H8" i="31" s="1"/>
  <c r="L17" i="14"/>
  <c r="K7" i="21"/>
  <c r="O65" i="14"/>
  <c r="N121" i="21"/>
  <c r="N17" i="14"/>
  <c r="M7" i="21"/>
  <c r="H17" i="14"/>
  <c r="G7" i="21"/>
  <c r="G8" i="31" s="1"/>
  <c r="M65" i="14"/>
  <c r="L121" i="21"/>
  <c r="K17" i="14"/>
  <c r="J7" i="21"/>
  <c r="J8" i="31" s="1"/>
  <c r="O55" i="17"/>
  <c r="D55" i="17" s="1"/>
  <c r="N89" i="21"/>
  <c r="N47" i="18"/>
  <c r="M68" i="21"/>
  <c r="M13" i="31" s="1"/>
  <c r="O17" i="14"/>
  <c r="N7" i="21"/>
  <c r="M17" i="14"/>
  <c r="L7" i="21"/>
  <c r="L8" i="31" s="1"/>
  <c r="O29" i="18"/>
  <c r="D29" i="18" s="1"/>
  <c r="N32" i="21"/>
  <c r="O47" i="18"/>
  <c r="N68" i="21"/>
  <c r="O80" i="17"/>
  <c r="D80" i="17" s="1"/>
  <c r="N145" i="21"/>
  <c r="M82" i="21"/>
  <c r="N65" i="14"/>
  <c r="M121" i="21"/>
  <c r="O29" i="20"/>
  <c r="D29" i="20" s="1"/>
  <c r="N28" i="21"/>
  <c r="J56" i="18"/>
  <c r="I68" i="21"/>
  <c r="I13" i="31" s="1"/>
  <c r="M56" i="18"/>
  <c r="L68" i="21"/>
  <c r="L13" i="31" s="1"/>
  <c r="L43" i="9"/>
  <c r="K63" i="21"/>
  <c r="M43" i="9"/>
  <c r="L63" i="21"/>
  <c r="N43" i="9"/>
  <c r="M63" i="21"/>
  <c r="J43" i="9"/>
  <c r="I63" i="21"/>
  <c r="K43" i="9"/>
  <c r="J63" i="21"/>
  <c r="J47" i="18"/>
  <c r="L47" i="18"/>
  <c r="M47" i="18"/>
  <c r="N56" i="18"/>
  <c r="K56" i="18"/>
  <c r="O53" i="18"/>
  <c r="O54" i="18" s="1"/>
  <c r="M50" i="14"/>
  <c r="M41" i="14"/>
  <c r="O41" i="14"/>
  <c r="O47" i="14"/>
  <c r="O48" i="14" s="1"/>
  <c r="N50" i="14"/>
  <c r="N41" i="14"/>
  <c r="J50" i="14"/>
  <c r="J41" i="14"/>
  <c r="K50" i="14"/>
  <c r="K41" i="14"/>
  <c r="L50" i="14"/>
  <c r="L41" i="14"/>
  <c r="O49" i="9"/>
  <c r="O50" i="9" s="1"/>
  <c r="O43" i="9"/>
  <c r="O71" i="14"/>
  <c r="O72" i="14" s="1"/>
  <c r="O23" i="14"/>
  <c r="O24" i="14" s="1"/>
  <c r="M30" i="12"/>
  <c r="M19" i="12"/>
  <c r="K30" i="12"/>
  <c r="K19" i="12"/>
  <c r="O27" i="12"/>
  <c r="O19" i="12"/>
  <c r="J30" i="12"/>
  <c r="J19" i="12"/>
  <c r="H30" i="12"/>
  <c r="H19" i="12"/>
  <c r="L30" i="12"/>
  <c r="L19" i="12"/>
  <c r="I30" i="12"/>
  <c r="I19" i="12"/>
  <c r="N30" i="12"/>
  <c r="N19" i="12"/>
  <c r="L74" i="14"/>
  <c r="L26" i="14"/>
  <c r="H26" i="14"/>
  <c r="N74" i="14"/>
  <c r="M74" i="14"/>
  <c r="K26" i="14"/>
  <c r="M26" i="14"/>
  <c r="I26" i="14"/>
  <c r="N26" i="14"/>
  <c r="J26" i="14"/>
  <c r="L52" i="9"/>
  <c r="J52" i="9"/>
  <c r="M52" i="9"/>
  <c r="K52" i="9"/>
  <c r="N52" i="9"/>
  <c r="O69" i="9"/>
  <c r="O70" i="9" s="1"/>
  <c r="N130" i="21" s="1"/>
  <c r="N138" i="21" s="1"/>
  <c r="O64" i="9"/>
  <c r="O66" i="9" s="1"/>
  <c r="N119" i="21" s="1"/>
  <c r="M69" i="9"/>
  <c r="M70" i="9" s="1"/>
  <c r="L130" i="21" s="1"/>
  <c r="L138" i="21" s="1"/>
  <c r="M64" i="9"/>
  <c r="M66" i="9" s="1"/>
  <c r="N69" i="9"/>
  <c r="N70" i="9" s="1"/>
  <c r="M130" i="21" s="1"/>
  <c r="M138" i="21" s="1"/>
  <c r="N64" i="9"/>
  <c r="N66" i="9" s="1"/>
  <c r="L69" i="9"/>
  <c r="L70" i="9" s="1"/>
  <c r="K130" i="21" s="1"/>
  <c r="K138" i="21" s="1"/>
  <c r="L64" i="9"/>
  <c r="L66" i="9" s="1"/>
  <c r="M19" i="9"/>
  <c r="M20" i="9" s="1"/>
  <c r="L16" i="21" s="1"/>
  <c r="L24" i="21" s="1"/>
  <c r="K14" i="9"/>
  <c r="K16" i="9" s="1"/>
  <c r="K19" i="9"/>
  <c r="K20" i="9" s="1"/>
  <c r="J16" i="21" s="1"/>
  <c r="J24" i="21" s="1"/>
  <c r="N14" i="9"/>
  <c r="N16" i="9" s="1"/>
  <c r="N19" i="9"/>
  <c r="N20" i="9" s="1"/>
  <c r="M16" i="21" s="1"/>
  <c r="M24" i="21" s="1"/>
  <c r="L14" i="9"/>
  <c r="L16" i="9" s="1"/>
  <c r="L19" i="9"/>
  <c r="L20" i="9" s="1"/>
  <c r="K16" i="21" s="1"/>
  <c r="K24" i="21" s="1"/>
  <c r="I14" i="9"/>
  <c r="I16" i="9" s="1"/>
  <c r="I19" i="9"/>
  <c r="I20" i="9" s="1"/>
  <c r="H16" i="21" s="1"/>
  <c r="H24" i="21" s="1"/>
  <c r="O14" i="9"/>
  <c r="O16" i="9" s="1"/>
  <c r="N5" i="21" s="1"/>
  <c r="O19" i="9"/>
  <c r="O20" i="9" s="1"/>
  <c r="N16" i="21" s="1"/>
  <c r="N24" i="21" s="1"/>
  <c r="H19" i="9"/>
  <c r="H20" i="9" s="1"/>
  <c r="G16" i="21" s="1"/>
  <c r="G24" i="21" s="1"/>
  <c r="H14" i="9"/>
  <c r="H16" i="9" s="1"/>
  <c r="J14" i="9"/>
  <c r="J16" i="9" s="1"/>
  <c r="J19" i="9"/>
  <c r="J20" i="9" s="1"/>
  <c r="I16" i="21" s="1"/>
  <c r="I24" i="21" s="1"/>
  <c r="M16" i="9"/>
  <c r="N5" i="31" l="1"/>
  <c r="N71" i="21"/>
  <c r="N13" i="31"/>
  <c r="D47" i="31"/>
  <c r="N8" i="31"/>
  <c r="K8" i="31"/>
  <c r="D13" i="21"/>
  <c r="D39" i="21" s="1"/>
  <c r="D175" i="21" s="1"/>
  <c r="D11" i="31"/>
  <c r="D21" i="31" s="1"/>
  <c r="M8" i="31"/>
  <c r="F115" i="21"/>
  <c r="E115" i="21"/>
  <c r="F24" i="12"/>
  <c r="F28" i="12" s="1"/>
  <c r="F30" i="12" s="1"/>
  <c r="F19" i="22"/>
  <c r="I15" i="17"/>
  <c r="I18" i="17" s="1"/>
  <c r="H9" i="21" s="1"/>
  <c r="H11" i="31" s="1"/>
  <c r="J15" i="17"/>
  <c r="J18" i="17" s="1"/>
  <c r="I9" i="21" s="1"/>
  <c r="I11" i="31" s="1"/>
  <c r="G15" i="17"/>
  <c r="G18" i="17" s="1"/>
  <c r="F9" i="21" s="1"/>
  <c r="O15" i="17"/>
  <c r="O18" i="17" s="1"/>
  <c r="N9" i="21" s="1"/>
  <c r="N15" i="17"/>
  <c r="N18" i="17" s="1"/>
  <c r="M9" i="21" s="1"/>
  <c r="M11" i="31" s="1"/>
  <c r="L15" i="17"/>
  <c r="L18" i="17" s="1"/>
  <c r="K9" i="21" s="1"/>
  <c r="K11" i="31" s="1"/>
  <c r="H15" i="17"/>
  <c r="H18" i="17" s="1"/>
  <c r="G9" i="21" s="1"/>
  <c r="G11" i="31" s="1"/>
  <c r="K15" i="17"/>
  <c r="K18" i="17" s="1"/>
  <c r="J9" i="21" s="1"/>
  <c r="J11" i="31" s="1"/>
  <c r="F15" i="17"/>
  <c r="F18" i="17" s="1"/>
  <c r="E9" i="21" s="1"/>
  <c r="K71" i="21"/>
  <c r="M15" i="17"/>
  <c r="M18" i="17" s="1"/>
  <c r="L9" i="21" s="1"/>
  <c r="L11" i="31" s="1"/>
  <c r="J71" i="21"/>
  <c r="N127" i="21"/>
  <c r="I71" i="21"/>
  <c r="O74" i="14"/>
  <c r="D74" i="14" s="1"/>
  <c r="N143" i="21"/>
  <c r="L71" i="21"/>
  <c r="O26" i="14"/>
  <c r="D26" i="14" s="1"/>
  <c r="N29" i="21"/>
  <c r="O56" i="18"/>
  <c r="D56" i="18" s="1"/>
  <c r="N90" i="21"/>
  <c r="O50" i="14"/>
  <c r="D50" i="14" s="1"/>
  <c r="N87" i="21"/>
  <c r="M71" i="21"/>
  <c r="H17" i="9"/>
  <c r="G5" i="21"/>
  <c r="G5" i="31" s="1"/>
  <c r="N17" i="9"/>
  <c r="M5" i="21"/>
  <c r="M67" i="9"/>
  <c r="L119" i="21"/>
  <c r="L127" i="21" s="1"/>
  <c r="L153" i="21" s="1"/>
  <c r="L157" i="21" s="1"/>
  <c r="L161" i="21" s="1"/>
  <c r="K17" i="9"/>
  <c r="J5" i="21"/>
  <c r="J5" i="31" s="1"/>
  <c r="L67" i="9"/>
  <c r="K119" i="21"/>
  <c r="K127" i="21" s="1"/>
  <c r="K153" i="21" s="1"/>
  <c r="K157" i="21" s="1"/>
  <c r="K161" i="21" s="1"/>
  <c r="K163" i="21" s="1"/>
  <c r="M17" i="9"/>
  <c r="L5" i="21"/>
  <c r="I17" i="9"/>
  <c r="H5" i="21"/>
  <c r="H5" i="31" s="1"/>
  <c r="H21" i="31" s="1"/>
  <c r="J17" i="9"/>
  <c r="I5" i="21"/>
  <c r="I5" i="31" s="1"/>
  <c r="L17" i="9"/>
  <c r="K5" i="21"/>
  <c r="K5" i="31" s="1"/>
  <c r="N67" i="9"/>
  <c r="M119" i="21"/>
  <c r="M127" i="21" s="1"/>
  <c r="O52" i="9"/>
  <c r="D52" i="9" s="1"/>
  <c r="N85" i="21"/>
  <c r="O28" i="12"/>
  <c r="E30" i="17"/>
  <c r="E19" i="17"/>
  <c r="O73" i="9"/>
  <c r="O74" i="9" s="1"/>
  <c r="O67" i="9"/>
  <c r="O25" i="9"/>
  <c r="O26" i="9" s="1"/>
  <c r="O17" i="9"/>
  <c r="M76" i="9"/>
  <c r="M28" i="9"/>
  <c r="I28" i="9"/>
  <c r="N76" i="9"/>
  <c r="L76" i="9"/>
  <c r="K28" i="9"/>
  <c r="N28" i="9"/>
  <c r="H28" i="9"/>
  <c r="L28" i="9"/>
  <c r="J28" i="9"/>
  <c r="J21" i="31" l="1"/>
  <c r="J44" i="31" s="1"/>
  <c r="J48" i="31" s="1"/>
  <c r="N13" i="21"/>
  <c r="N11" i="31"/>
  <c r="N21" i="31" s="1"/>
  <c r="N44" i="31" s="1"/>
  <c r="H44" i="31"/>
  <c r="H48" i="31" s="1"/>
  <c r="H23" i="31"/>
  <c r="D44" i="31"/>
  <c r="D48" i="31" s="1"/>
  <c r="D23" i="31"/>
  <c r="J23" i="31"/>
  <c r="G21" i="31"/>
  <c r="I21" i="31"/>
  <c r="F13" i="21"/>
  <c r="F11" i="31"/>
  <c r="F21" i="31" s="1"/>
  <c r="M5" i="31"/>
  <c r="M21" i="31" s="1"/>
  <c r="L5" i="31"/>
  <c r="L21" i="31" s="1"/>
  <c r="K21" i="31"/>
  <c r="E13" i="21"/>
  <c r="E11" i="31"/>
  <c r="E21" i="31" s="1"/>
  <c r="M153" i="21"/>
  <c r="M157" i="21" s="1"/>
  <c r="M161" i="21" s="1"/>
  <c r="Q131" i="21"/>
  <c r="Q133" i="21" s="1"/>
  <c r="Q135" i="21" s="1"/>
  <c r="I97" i="21"/>
  <c r="I101" i="21" s="1"/>
  <c r="I105" i="21" s="1"/>
  <c r="I107" i="21" s="1"/>
  <c r="J97" i="21"/>
  <c r="J101" i="21" s="1"/>
  <c r="J105" i="21" s="1"/>
  <c r="K97" i="21"/>
  <c r="K101" i="21" s="1"/>
  <c r="K105" i="21" s="1"/>
  <c r="Q75" i="21"/>
  <c r="Q77" i="21" s="1"/>
  <c r="Q79" i="21" s="1"/>
  <c r="L97" i="21"/>
  <c r="L101" i="21" s="1"/>
  <c r="L105" i="21" s="1"/>
  <c r="M97" i="21"/>
  <c r="M101" i="21" s="1"/>
  <c r="M105" i="21" s="1"/>
  <c r="D43" i="21"/>
  <c r="D47" i="21" s="1"/>
  <c r="F39" i="21"/>
  <c r="F175" i="21" s="1"/>
  <c r="O27" i="17"/>
  <c r="O28" i="17" s="1"/>
  <c r="N31" i="21" s="1"/>
  <c r="E30" i="21"/>
  <c r="M13" i="21"/>
  <c r="F19" i="17"/>
  <c r="F30" i="17"/>
  <c r="G19" i="17"/>
  <c r="G30" i="17"/>
  <c r="I19" i="17"/>
  <c r="I13" i="21"/>
  <c r="H13" i="21"/>
  <c r="J19" i="17"/>
  <c r="J30" i="17"/>
  <c r="I30" i="17"/>
  <c r="N19" i="17"/>
  <c r="H19" i="17"/>
  <c r="H30" i="17"/>
  <c r="G13" i="21"/>
  <c r="O19" i="17"/>
  <c r="L13" i="21"/>
  <c r="M19" i="17"/>
  <c r="L19" i="17"/>
  <c r="L30" i="17"/>
  <c r="M30" i="17"/>
  <c r="K19" i="17"/>
  <c r="K30" i="17"/>
  <c r="J13" i="21"/>
  <c r="N30" i="17"/>
  <c r="K13" i="21"/>
  <c r="N93" i="21"/>
  <c r="N97" i="21" s="1"/>
  <c r="O30" i="12"/>
  <c r="D30" i="12" s="1"/>
  <c r="N30" i="21"/>
  <c r="O28" i="9"/>
  <c r="D28" i="9" s="1"/>
  <c r="N27" i="21"/>
  <c r="O76" i="9"/>
  <c r="D76" i="9" s="1"/>
  <c r="N141" i="21"/>
  <c r="N149" i="21" s="1"/>
  <c r="D57" i="21" l="1"/>
  <c r="D176" i="21" s="1"/>
  <c r="E44" i="31"/>
  <c r="E23" i="31"/>
  <c r="L44" i="31"/>
  <c r="L48" i="31" s="1"/>
  <c r="L23" i="31"/>
  <c r="M44" i="31"/>
  <c r="M48" i="31" s="1"/>
  <c r="M23" i="31"/>
  <c r="I44" i="31"/>
  <c r="I48" i="31" s="1"/>
  <c r="I23" i="31"/>
  <c r="G44" i="31"/>
  <c r="G48" i="31" s="1"/>
  <c r="G23" i="31"/>
  <c r="K44" i="31"/>
  <c r="K48" i="31" s="1"/>
  <c r="K23" i="31"/>
  <c r="F44" i="31"/>
  <c r="F48" i="31" s="1"/>
  <c r="F23" i="31"/>
  <c r="E35" i="21"/>
  <c r="Q6" i="21" s="1"/>
  <c r="Q177" i="21" s="1"/>
  <c r="E31" i="31"/>
  <c r="N153" i="21"/>
  <c r="N157" i="21" s="1"/>
  <c r="N161" i="21" s="1"/>
  <c r="E3" i="29"/>
  <c r="K167" i="21"/>
  <c r="Q140" i="21"/>
  <c r="K166" i="21" s="1"/>
  <c r="E3" i="28"/>
  <c r="I111" i="21"/>
  <c r="Q84" i="21"/>
  <c r="I110" i="21" s="1"/>
  <c r="C97" i="21"/>
  <c r="N101" i="21"/>
  <c r="N105" i="21" s="1"/>
  <c r="F43" i="21"/>
  <c r="F47" i="21" s="1"/>
  <c r="K39" i="21"/>
  <c r="L39" i="21"/>
  <c r="J39" i="21"/>
  <c r="J175" i="21" s="1"/>
  <c r="H39" i="21"/>
  <c r="G39" i="21"/>
  <c r="G175" i="21" s="1"/>
  <c r="M39" i="21"/>
  <c r="M175" i="21" s="1"/>
  <c r="I39" i="21"/>
  <c r="Q17" i="21"/>
  <c r="Q19" i="21" s="1"/>
  <c r="O30" i="17"/>
  <c r="D30" i="17" s="1"/>
  <c r="N35" i="21"/>
  <c r="N22" i="31" s="1"/>
  <c r="D49" i="31" l="1"/>
  <c r="E39" i="21"/>
  <c r="E175" i="21" s="1"/>
  <c r="E41" i="31"/>
  <c r="E90" i="31"/>
  <c r="N45" i="31"/>
  <c r="N48" i="31" s="1"/>
  <c r="N23" i="31"/>
  <c r="C153" i="21"/>
  <c r="E43" i="21"/>
  <c r="H43" i="21"/>
  <c r="H47" i="21" s="1"/>
  <c r="H175" i="21"/>
  <c r="L43" i="21"/>
  <c r="L47" i="21" s="1"/>
  <c r="L175" i="21"/>
  <c r="K43" i="21"/>
  <c r="K47" i="21" s="1"/>
  <c r="K175" i="21"/>
  <c r="I43" i="21"/>
  <c r="I47" i="21" s="1"/>
  <c r="I175" i="21"/>
  <c r="E9" i="29"/>
  <c r="E8" i="29" s="1"/>
  <c r="G43" i="21"/>
  <c r="G47" i="21" s="1"/>
  <c r="J43" i="21"/>
  <c r="J47" i="21" s="1"/>
  <c r="M43" i="21"/>
  <c r="M47" i="21" s="1"/>
  <c r="F48" i="21"/>
  <c r="N39" i="21"/>
  <c r="N175" i="21" s="1"/>
  <c r="Q8" i="21"/>
  <c r="Q21" i="21"/>
  <c r="E47" i="31" l="1"/>
  <c r="E48" i="31" s="1"/>
  <c r="C104" i="31"/>
  <c r="D51" i="31"/>
  <c r="F57" i="21"/>
  <c r="F50" i="31"/>
  <c r="C175" i="21"/>
  <c r="D53" i="31" s="1"/>
  <c r="E11" i="29"/>
  <c r="E10" i="29" s="1"/>
  <c r="H377" i="29"/>
  <c r="F376" i="29"/>
  <c r="D375" i="29"/>
  <c r="H373" i="29"/>
  <c r="F372" i="29"/>
  <c r="D371" i="29"/>
  <c r="H369" i="29"/>
  <c r="F368" i="29"/>
  <c r="D367" i="29"/>
  <c r="H365" i="29"/>
  <c r="F364" i="29"/>
  <c r="D363" i="29"/>
  <c r="H361" i="29"/>
  <c r="F360" i="29"/>
  <c r="D359" i="29"/>
  <c r="H357" i="29"/>
  <c r="F356" i="29"/>
  <c r="D355" i="29"/>
  <c r="H353" i="29"/>
  <c r="F352" i="29"/>
  <c r="D351" i="29"/>
  <c r="H349" i="29"/>
  <c r="F348" i="29"/>
  <c r="D347" i="29"/>
  <c r="H345" i="29"/>
  <c r="F344" i="29"/>
  <c r="D343" i="29"/>
  <c r="H341" i="29"/>
  <c r="F340" i="29"/>
  <c r="D339" i="29"/>
  <c r="H337" i="29"/>
  <c r="F336" i="29"/>
  <c r="D335" i="29"/>
  <c r="H333" i="29"/>
  <c r="F332" i="29"/>
  <c r="D331" i="29"/>
  <c r="H329" i="29"/>
  <c r="F328" i="29"/>
  <c r="D327" i="29"/>
  <c r="H325" i="29"/>
  <c r="F324" i="29"/>
  <c r="D323" i="29"/>
  <c r="H321" i="29"/>
  <c r="F320" i="29"/>
  <c r="D319" i="29"/>
  <c r="H317" i="29"/>
  <c r="F316" i="29"/>
  <c r="D315" i="29"/>
  <c r="H313" i="29"/>
  <c r="F312" i="29"/>
  <c r="D311" i="29"/>
  <c r="H309" i="29"/>
  <c r="F308" i="29"/>
  <c r="D307" i="29"/>
  <c r="H305" i="29"/>
  <c r="F304" i="29"/>
  <c r="D303" i="29"/>
  <c r="H301" i="29"/>
  <c r="F300" i="29"/>
  <c r="D299" i="29"/>
  <c r="H297" i="29"/>
  <c r="F296" i="29"/>
  <c r="D295" i="29"/>
  <c r="H293" i="29"/>
  <c r="F292" i="29"/>
  <c r="D291" i="29"/>
  <c r="G377" i="29"/>
  <c r="E376" i="29"/>
  <c r="B375" i="29"/>
  <c r="G373" i="29"/>
  <c r="E372" i="29"/>
  <c r="B371" i="29"/>
  <c r="G369" i="29"/>
  <c r="E368" i="29"/>
  <c r="B367" i="29"/>
  <c r="G365" i="29"/>
  <c r="E364" i="29"/>
  <c r="B363" i="29"/>
  <c r="G361" i="29"/>
  <c r="E360" i="29"/>
  <c r="B359" i="29"/>
  <c r="G357" i="29"/>
  <c r="E356" i="29"/>
  <c r="B355" i="29"/>
  <c r="G353" i="29"/>
  <c r="E352" i="29"/>
  <c r="B351" i="29"/>
  <c r="G349" i="29"/>
  <c r="E348" i="29"/>
  <c r="B347" i="29"/>
  <c r="G345" i="29"/>
  <c r="E344" i="29"/>
  <c r="B343" i="29"/>
  <c r="G341" i="29"/>
  <c r="E340" i="29"/>
  <c r="B339" i="29"/>
  <c r="G337" i="29"/>
  <c r="E336" i="29"/>
  <c r="B335" i="29"/>
  <c r="G333" i="29"/>
  <c r="E332" i="29"/>
  <c r="B331" i="29"/>
  <c r="G329" i="29"/>
  <c r="E328" i="29"/>
  <c r="B327" i="29"/>
  <c r="G325" i="29"/>
  <c r="E324" i="29"/>
  <c r="B323" i="29"/>
  <c r="G321" i="29"/>
  <c r="E320" i="29"/>
  <c r="B319" i="29"/>
  <c r="G317" i="29"/>
  <c r="E316" i="29"/>
  <c r="B315" i="29"/>
  <c r="G313" i="29"/>
  <c r="E312" i="29"/>
  <c r="B311" i="29"/>
  <c r="G309" i="29"/>
  <c r="E308" i="29"/>
  <c r="B307" i="29"/>
  <c r="G305" i="29"/>
  <c r="E304" i="29"/>
  <c r="B303" i="29"/>
  <c r="G301" i="29"/>
  <c r="E300" i="29"/>
  <c r="B299" i="29"/>
  <c r="G297" i="29"/>
  <c r="E296" i="29"/>
  <c r="B295" i="29"/>
  <c r="G293" i="29"/>
  <c r="F377" i="29"/>
  <c r="D376" i="29"/>
  <c r="H374" i="29"/>
  <c r="F373" i="29"/>
  <c r="D372" i="29"/>
  <c r="H370" i="29"/>
  <c r="F369" i="29"/>
  <c r="D368" i="29"/>
  <c r="H366" i="29"/>
  <c r="F365" i="29"/>
  <c r="D364" i="29"/>
  <c r="H362" i="29"/>
  <c r="F361" i="29"/>
  <c r="D360" i="29"/>
  <c r="H358" i="29"/>
  <c r="F357" i="29"/>
  <c r="D356" i="29"/>
  <c r="H354" i="29"/>
  <c r="F353" i="29"/>
  <c r="D352" i="29"/>
  <c r="H350" i="29"/>
  <c r="F349" i="29"/>
  <c r="D348" i="29"/>
  <c r="H346" i="29"/>
  <c r="F345" i="29"/>
  <c r="D344" i="29"/>
  <c r="H342" i="29"/>
  <c r="F341" i="29"/>
  <c r="D340" i="29"/>
  <c r="H338" i="29"/>
  <c r="F337" i="29"/>
  <c r="D336" i="29"/>
  <c r="H334" i="29"/>
  <c r="F333" i="29"/>
  <c r="D332" i="29"/>
  <c r="H330" i="29"/>
  <c r="F329" i="29"/>
  <c r="D328" i="29"/>
  <c r="H326" i="29"/>
  <c r="F325" i="29"/>
  <c r="D324" i="29"/>
  <c r="H322" i="29"/>
  <c r="F321" i="29"/>
  <c r="D320" i="29"/>
  <c r="H318" i="29"/>
  <c r="F317" i="29"/>
  <c r="D316" i="29"/>
  <c r="H314" i="29"/>
  <c r="F313" i="29"/>
  <c r="D312" i="29"/>
  <c r="H310" i="29"/>
  <c r="F309" i="29"/>
  <c r="D308" i="29"/>
  <c r="H306" i="29"/>
  <c r="F305" i="29"/>
  <c r="D304" i="29"/>
  <c r="H302" i="29"/>
  <c r="F301" i="29"/>
  <c r="D300" i="29"/>
  <c r="H298" i="29"/>
  <c r="F297" i="29"/>
  <c r="D296" i="29"/>
  <c r="H294" i="29"/>
  <c r="F293" i="29"/>
  <c r="D292" i="29"/>
  <c r="H290" i="29"/>
  <c r="F289" i="29"/>
  <c r="D288" i="29"/>
  <c r="H286" i="29"/>
  <c r="F285" i="29"/>
  <c r="D284" i="29"/>
  <c r="H282" i="29"/>
  <c r="F281" i="29"/>
  <c r="D280" i="29"/>
  <c r="H278" i="29"/>
  <c r="F277" i="29"/>
  <c r="D276" i="29"/>
  <c r="H274" i="29"/>
  <c r="F273" i="29"/>
  <c r="D272" i="29"/>
  <c r="H270" i="29"/>
  <c r="F269" i="29"/>
  <c r="D268" i="29"/>
  <c r="H266" i="29"/>
  <c r="E377" i="29"/>
  <c r="B376" i="29"/>
  <c r="G374" i="29"/>
  <c r="E373" i="29"/>
  <c r="B372" i="29"/>
  <c r="G370" i="29"/>
  <c r="E369" i="29"/>
  <c r="B368" i="29"/>
  <c r="G366" i="29"/>
  <c r="E365" i="29"/>
  <c r="B364" i="29"/>
  <c r="G362" i="29"/>
  <c r="E361" i="29"/>
  <c r="B360" i="29"/>
  <c r="G358" i="29"/>
  <c r="E357" i="29"/>
  <c r="B356" i="29"/>
  <c r="G354" i="29"/>
  <c r="E353" i="29"/>
  <c r="B352" i="29"/>
  <c r="G350" i="29"/>
  <c r="E349" i="29"/>
  <c r="B348" i="29"/>
  <c r="G346" i="29"/>
  <c r="E345" i="29"/>
  <c r="B344" i="29"/>
  <c r="G342" i="29"/>
  <c r="E341" i="29"/>
  <c r="B340" i="29"/>
  <c r="G338" i="29"/>
  <c r="E337" i="29"/>
  <c r="B336" i="29"/>
  <c r="G334" i="29"/>
  <c r="E333" i="29"/>
  <c r="B332" i="29"/>
  <c r="G330" i="29"/>
  <c r="E329" i="29"/>
  <c r="B328" i="29"/>
  <c r="G326" i="29"/>
  <c r="E325" i="29"/>
  <c r="B324" i="29"/>
  <c r="G322" i="29"/>
  <c r="E321" i="29"/>
  <c r="B320" i="29"/>
  <c r="G318" i="29"/>
  <c r="E317" i="29"/>
  <c r="B316" i="29"/>
  <c r="G314" i="29"/>
  <c r="E313" i="29"/>
  <c r="B312" i="29"/>
  <c r="G310" i="29"/>
  <c r="E309" i="29"/>
  <c r="B308" i="29"/>
  <c r="G306" i="29"/>
  <c r="E305" i="29"/>
  <c r="B304" i="29"/>
  <c r="G302" i="29"/>
  <c r="E301" i="29"/>
  <c r="B300" i="29"/>
  <c r="G298" i="29"/>
  <c r="E297" i="29"/>
  <c r="B296" i="29"/>
  <c r="G294" i="29"/>
  <c r="E293" i="29"/>
  <c r="B292" i="29"/>
  <c r="G290" i="29"/>
  <c r="E289" i="29"/>
  <c r="B288" i="29"/>
  <c r="G286" i="29"/>
  <c r="E285" i="29"/>
  <c r="B284" i="29"/>
  <c r="G282" i="29"/>
  <c r="E281" i="29"/>
  <c r="B280" i="29"/>
  <c r="G278" i="29"/>
  <c r="E277" i="29"/>
  <c r="B276" i="29"/>
  <c r="G274" i="29"/>
  <c r="E273" i="29"/>
  <c r="B272" i="29"/>
  <c r="G270" i="29"/>
  <c r="D377" i="29"/>
  <c r="H375" i="29"/>
  <c r="F374" i="29"/>
  <c r="D373" i="29"/>
  <c r="H371" i="29"/>
  <c r="F370" i="29"/>
  <c r="D369" i="29"/>
  <c r="H367" i="29"/>
  <c r="F366" i="29"/>
  <c r="D365" i="29"/>
  <c r="H363" i="29"/>
  <c r="F362" i="29"/>
  <c r="D361" i="29"/>
  <c r="H359" i="29"/>
  <c r="F358" i="29"/>
  <c r="D357" i="29"/>
  <c r="H355" i="29"/>
  <c r="F354" i="29"/>
  <c r="D353" i="29"/>
  <c r="H351" i="29"/>
  <c r="F350" i="29"/>
  <c r="D349" i="29"/>
  <c r="H347" i="29"/>
  <c r="F346" i="29"/>
  <c r="D345" i="29"/>
  <c r="H343" i="29"/>
  <c r="F342" i="29"/>
  <c r="D341" i="29"/>
  <c r="H339" i="29"/>
  <c r="F338" i="29"/>
  <c r="D337" i="29"/>
  <c r="H335" i="29"/>
  <c r="F334" i="29"/>
  <c r="D333" i="29"/>
  <c r="H331" i="29"/>
  <c r="F330" i="29"/>
  <c r="D329" i="29"/>
  <c r="H327" i="29"/>
  <c r="F326" i="29"/>
  <c r="D325" i="29"/>
  <c r="H323" i="29"/>
  <c r="F322" i="29"/>
  <c r="D321" i="29"/>
  <c r="H319" i="29"/>
  <c r="F318" i="29"/>
  <c r="D317" i="29"/>
  <c r="H315" i="29"/>
  <c r="F314" i="29"/>
  <c r="D313" i="29"/>
  <c r="H311" i="29"/>
  <c r="F310" i="29"/>
  <c r="B377" i="29"/>
  <c r="G375" i="29"/>
  <c r="E374" i="29"/>
  <c r="B373" i="29"/>
  <c r="G371" i="29"/>
  <c r="E370" i="29"/>
  <c r="B369" i="29"/>
  <c r="G367" i="29"/>
  <c r="E366" i="29"/>
  <c r="B365" i="29"/>
  <c r="G363" i="29"/>
  <c r="E362" i="29"/>
  <c r="B361" i="29"/>
  <c r="G359" i="29"/>
  <c r="E358" i="29"/>
  <c r="B357" i="29"/>
  <c r="G355" i="29"/>
  <c r="E354" i="29"/>
  <c r="B353" i="29"/>
  <c r="G351" i="29"/>
  <c r="E350" i="29"/>
  <c r="B349" i="29"/>
  <c r="G347" i="29"/>
  <c r="E346" i="29"/>
  <c r="B345" i="29"/>
  <c r="G343" i="29"/>
  <c r="E342" i="29"/>
  <c r="B341" i="29"/>
  <c r="G339" i="29"/>
  <c r="E338" i="29"/>
  <c r="B337" i="29"/>
  <c r="G335" i="29"/>
  <c r="E334" i="29"/>
  <c r="B333" i="29"/>
  <c r="G331" i="29"/>
  <c r="E330" i="29"/>
  <c r="B329" i="29"/>
  <c r="G327" i="29"/>
  <c r="E326" i="29"/>
  <c r="B325" i="29"/>
  <c r="G323" i="29"/>
  <c r="E322" i="29"/>
  <c r="B321" i="29"/>
  <c r="G319" i="29"/>
  <c r="E318" i="29"/>
  <c r="B317" i="29"/>
  <c r="G315" i="29"/>
  <c r="E314" i="29"/>
  <c r="B313" i="29"/>
  <c r="G311" i="29"/>
  <c r="E310" i="29"/>
  <c r="B309" i="29"/>
  <c r="G307" i="29"/>
  <c r="E306" i="29"/>
  <c r="B305" i="29"/>
  <c r="G303" i="29"/>
  <c r="E302" i="29"/>
  <c r="H376" i="29"/>
  <c r="F375" i="29"/>
  <c r="D374" i="29"/>
  <c r="H372" i="29"/>
  <c r="F371" i="29"/>
  <c r="D370" i="29"/>
  <c r="H368" i="29"/>
  <c r="F367" i="29"/>
  <c r="D366" i="29"/>
  <c r="H364" i="29"/>
  <c r="F363" i="29"/>
  <c r="D362" i="29"/>
  <c r="H360" i="29"/>
  <c r="F359" i="29"/>
  <c r="D358" i="29"/>
  <c r="H356" i="29"/>
  <c r="F355" i="29"/>
  <c r="D354" i="29"/>
  <c r="H352" i="29"/>
  <c r="F351" i="29"/>
  <c r="D350" i="29"/>
  <c r="H348" i="29"/>
  <c r="F347" i="29"/>
  <c r="D346" i="29"/>
  <c r="H344" i="29"/>
  <c r="F343" i="29"/>
  <c r="D342" i="29"/>
  <c r="H340" i="29"/>
  <c r="F339" i="29"/>
  <c r="D338" i="29"/>
  <c r="H336" i="29"/>
  <c r="F335" i="29"/>
  <c r="D334" i="29"/>
  <c r="H332" i="29"/>
  <c r="F331" i="29"/>
  <c r="D330" i="29"/>
  <c r="H328" i="29"/>
  <c r="F327" i="29"/>
  <c r="D326" i="29"/>
  <c r="H324" i="29"/>
  <c r="F323" i="29"/>
  <c r="D322" i="29"/>
  <c r="H320" i="29"/>
  <c r="F319" i="29"/>
  <c r="D318" i="29"/>
  <c r="H316" i="29"/>
  <c r="F315" i="29"/>
  <c r="D314" i="29"/>
  <c r="H312" i="29"/>
  <c r="F311" i="29"/>
  <c r="D310" i="29"/>
  <c r="H308" i="29"/>
  <c r="F307" i="29"/>
  <c r="D306" i="29"/>
  <c r="H304" i="29"/>
  <c r="F303" i="29"/>
  <c r="D302" i="29"/>
  <c r="H300" i="29"/>
  <c r="F299" i="29"/>
  <c r="D298" i="29"/>
  <c r="H296" i="29"/>
  <c r="F295" i="29"/>
  <c r="D294" i="29"/>
  <c r="H292" i="29"/>
  <c r="F291" i="29"/>
  <c r="D290" i="29"/>
  <c r="H288" i="29"/>
  <c r="F287" i="29"/>
  <c r="D286" i="29"/>
  <c r="H284" i="29"/>
  <c r="F283" i="29"/>
  <c r="D282" i="29"/>
  <c r="H280" i="29"/>
  <c r="F279" i="29"/>
  <c r="D278" i="29"/>
  <c r="H276" i="29"/>
  <c r="F275" i="29"/>
  <c r="D274" i="29"/>
  <c r="H272" i="29"/>
  <c r="F271" i="29"/>
  <c r="D270" i="29"/>
  <c r="H268" i="29"/>
  <c r="F267" i="29"/>
  <c r="D266" i="29"/>
  <c r="H264" i="29"/>
  <c r="G376" i="29"/>
  <c r="B366" i="29"/>
  <c r="E355" i="29"/>
  <c r="G344" i="29"/>
  <c r="B334" i="29"/>
  <c r="E323" i="29"/>
  <c r="G312" i="29"/>
  <c r="B306" i="29"/>
  <c r="B301" i="29"/>
  <c r="D297" i="29"/>
  <c r="B294" i="29"/>
  <c r="B291" i="29"/>
  <c r="G288" i="29"/>
  <c r="F286" i="29"/>
  <c r="F284" i="29"/>
  <c r="E282" i="29"/>
  <c r="E280" i="29"/>
  <c r="B278" i="29"/>
  <c r="H275" i="29"/>
  <c r="H273" i="29"/>
  <c r="G271" i="29"/>
  <c r="G269" i="29"/>
  <c r="H267" i="29"/>
  <c r="B266" i="29"/>
  <c r="F264" i="29"/>
  <c r="D263" i="29"/>
  <c r="H261" i="29"/>
  <c r="F260" i="29"/>
  <c r="D259" i="29"/>
  <c r="H257" i="29"/>
  <c r="F256" i="29"/>
  <c r="D255" i="29"/>
  <c r="H253" i="29"/>
  <c r="F252" i="29"/>
  <c r="D251" i="29"/>
  <c r="H249" i="29"/>
  <c r="F248" i="29"/>
  <c r="D247" i="29"/>
  <c r="H245" i="29"/>
  <c r="F244" i="29"/>
  <c r="D243" i="29"/>
  <c r="H241" i="29"/>
  <c r="F240" i="29"/>
  <c r="D239" i="29"/>
  <c r="H237" i="29"/>
  <c r="F236" i="29"/>
  <c r="D235" i="29"/>
  <c r="H233" i="29"/>
  <c r="F232" i="29"/>
  <c r="D231" i="29"/>
  <c r="H229" i="29"/>
  <c r="F228" i="29"/>
  <c r="D227" i="29"/>
  <c r="H225" i="29"/>
  <c r="F224" i="29"/>
  <c r="D223" i="29"/>
  <c r="H221" i="29"/>
  <c r="F220" i="29"/>
  <c r="D219" i="29"/>
  <c r="H217" i="29"/>
  <c r="F216" i="29"/>
  <c r="D215" i="29"/>
  <c r="H213" i="29"/>
  <c r="E375" i="29"/>
  <c r="G364" i="29"/>
  <c r="B354" i="29"/>
  <c r="E343" i="29"/>
  <c r="G332" i="29"/>
  <c r="B322" i="29"/>
  <c r="E311" i="29"/>
  <c r="D305" i="29"/>
  <c r="G300" i="29"/>
  <c r="B297" i="29"/>
  <c r="D293" i="29"/>
  <c r="F290" i="29"/>
  <c r="F288" i="29"/>
  <c r="E286" i="29"/>
  <c r="E284" i="29"/>
  <c r="B282" i="29"/>
  <c r="H279" i="29"/>
  <c r="H277" i="29"/>
  <c r="G275" i="29"/>
  <c r="G273" i="29"/>
  <c r="E271" i="29"/>
  <c r="E269" i="29"/>
  <c r="G267" i="29"/>
  <c r="H265" i="29"/>
  <c r="E264" i="29"/>
  <c r="B263" i="29"/>
  <c r="G261" i="29"/>
  <c r="E260" i="29"/>
  <c r="B259" i="29"/>
  <c r="G257" i="29"/>
  <c r="E256" i="29"/>
  <c r="B255" i="29"/>
  <c r="G253" i="29"/>
  <c r="E252" i="29"/>
  <c r="B251" i="29"/>
  <c r="G249" i="29"/>
  <c r="E248" i="29"/>
  <c r="B247" i="29"/>
  <c r="G245" i="29"/>
  <c r="E244" i="29"/>
  <c r="B243" i="29"/>
  <c r="G241" i="29"/>
  <c r="E240" i="29"/>
  <c r="B239" i="29"/>
  <c r="G237" i="29"/>
  <c r="E236" i="29"/>
  <c r="B235" i="29"/>
  <c r="G233" i="29"/>
  <c r="E232" i="29"/>
  <c r="B231" i="29"/>
  <c r="G229" i="29"/>
  <c r="E228" i="29"/>
  <c r="B227" i="29"/>
  <c r="G225" i="29"/>
  <c r="E224" i="29"/>
  <c r="B223" i="29"/>
  <c r="G221" i="29"/>
  <c r="E220" i="29"/>
  <c r="B219" i="29"/>
  <c r="G217" i="29"/>
  <c r="E216" i="29"/>
  <c r="B215" i="29"/>
  <c r="G213" i="29"/>
  <c r="E212" i="29"/>
  <c r="B211" i="29"/>
  <c r="G209" i="29"/>
  <c r="E208" i="29"/>
  <c r="B207" i="29"/>
  <c r="G205" i="29"/>
  <c r="E204" i="29"/>
  <c r="B203" i="29"/>
  <c r="G201" i="29"/>
  <c r="E200" i="29"/>
  <c r="B199" i="29"/>
  <c r="G197" i="29"/>
  <c r="E196" i="29"/>
  <c r="B195" i="29"/>
  <c r="G193" i="29"/>
  <c r="E192" i="29"/>
  <c r="B191" i="29"/>
  <c r="G189" i="29"/>
  <c r="E188" i="29"/>
  <c r="B187" i="29"/>
  <c r="G185" i="29"/>
  <c r="E184" i="29"/>
  <c r="B374" i="29"/>
  <c r="E363" i="29"/>
  <c r="G352" i="29"/>
  <c r="B342" i="29"/>
  <c r="E331" i="29"/>
  <c r="G320" i="29"/>
  <c r="B310" i="29"/>
  <c r="G304" i="29"/>
  <c r="H299" i="29"/>
  <c r="G296" i="29"/>
  <c r="B293" i="29"/>
  <c r="E290" i="29"/>
  <c r="E288" i="29"/>
  <c r="B286" i="29"/>
  <c r="H283" i="29"/>
  <c r="H281" i="29"/>
  <c r="G279" i="29"/>
  <c r="G277" i="29"/>
  <c r="E275" i="29"/>
  <c r="D273" i="29"/>
  <c r="D271" i="29"/>
  <c r="D269" i="29"/>
  <c r="E267" i="29"/>
  <c r="G265" i="29"/>
  <c r="D264" i="29"/>
  <c r="H262" i="29"/>
  <c r="F261" i="29"/>
  <c r="D260" i="29"/>
  <c r="H258" i="29"/>
  <c r="F257" i="29"/>
  <c r="D256" i="29"/>
  <c r="H254" i="29"/>
  <c r="F253" i="29"/>
  <c r="D252" i="29"/>
  <c r="H250" i="29"/>
  <c r="F249" i="29"/>
  <c r="D248" i="29"/>
  <c r="H246" i="29"/>
  <c r="F245" i="29"/>
  <c r="D244" i="29"/>
  <c r="H242" i="29"/>
  <c r="F241" i="29"/>
  <c r="D240" i="29"/>
  <c r="H238" i="29"/>
  <c r="F237" i="29"/>
  <c r="D236" i="29"/>
  <c r="H234" i="29"/>
  <c r="F233" i="29"/>
  <c r="D232" i="29"/>
  <c r="H230" i="29"/>
  <c r="F229" i="29"/>
  <c r="D228" i="29"/>
  <c r="H226" i="29"/>
  <c r="F225" i="29"/>
  <c r="D224" i="29"/>
  <c r="H222" i="29"/>
  <c r="F221" i="29"/>
  <c r="D220" i="29"/>
  <c r="G372" i="29"/>
  <c r="B362" i="29"/>
  <c r="E351" i="29"/>
  <c r="G340" i="29"/>
  <c r="B330" i="29"/>
  <c r="E319" i="29"/>
  <c r="D309" i="29"/>
  <c r="H303" i="29"/>
  <c r="G299" i="29"/>
  <c r="H295" i="29"/>
  <c r="G292" i="29"/>
  <c r="B290" i="29"/>
  <c r="H287" i="29"/>
  <c r="H285" i="29"/>
  <c r="G283" i="29"/>
  <c r="G281" i="29"/>
  <c r="E279" i="29"/>
  <c r="D277" i="29"/>
  <c r="D275" i="29"/>
  <c r="B273" i="29"/>
  <c r="B271" i="29"/>
  <c r="B269" i="29"/>
  <c r="D267" i="29"/>
  <c r="F265" i="29"/>
  <c r="B264" i="29"/>
  <c r="G262" i="29"/>
  <c r="E261" i="29"/>
  <c r="B260" i="29"/>
  <c r="G258" i="29"/>
  <c r="E257" i="29"/>
  <c r="B256" i="29"/>
  <c r="G254" i="29"/>
  <c r="E253" i="29"/>
  <c r="B252" i="29"/>
  <c r="G250" i="29"/>
  <c r="E249" i="29"/>
  <c r="B248" i="29"/>
  <c r="G246" i="29"/>
  <c r="E245" i="29"/>
  <c r="B244" i="29"/>
  <c r="G242" i="29"/>
  <c r="E241" i="29"/>
  <c r="B240" i="29"/>
  <c r="G238" i="29"/>
  <c r="E237" i="29"/>
  <c r="B236" i="29"/>
  <c r="G234" i="29"/>
  <c r="E233" i="29"/>
  <c r="B232" i="29"/>
  <c r="G230" i="29"/>
  <c r="E229" i="29"/>
  <c r="B228" i="29"/>
  <c r="G226" i="29"/>
  <c r="E225" i="29"/>
  <c r="B224" i="29"/>
  <c r="G222" i="29"/>
  <c r="E221" i="29"/>
  <c r="B220" i="29"/>
  <c r="G218" i="29"/>
  <c r="E217" i="29"/>
  <c r="B216" i="29"/>
  <c r="G214" i="29"/>
  <c r="E213" i="29"/>
  <c r="E371" i="29"/>
  <c r="G360" i="29"/>
  <c r="B350" i="29"/>
  <c r="E339" i="29"/>
  <c r="G328" i="29"/>
  <c r="B318" i="29"/>
  <c r="G308" i="29"/>
  <c r="E303" i="29"/>
  <c r="E299" i="29"/>
  <c r="G295" i="29"/>
  <c r="E292" i="29"/>
  <c r="H289" i="29"/>
  <c r="G287" i="29"/>
  <c r="G285" i="29"/>
  <c r="E283" i="29"/>
  <c r="D281" i="29"/>
  <c r="D279" i="29"/>
  <c r="B277" i="29"/>
  <c r="B275" i="29"/>
  <c r="G272" i="29"/>
  <c r="F270" i="29"/>
  <c r="G268" i="29"/>
  <c r="B267" i="29"/>
  <c r="E265" i="29"/>
  <c r="H263" i="29"/>
  <c r="F262" i="29"/>
  <c r="D261" i="29"/>
  <c r="H259" i="29"/>
  <c r="F258" i="29"/>
  <c r="D257" i="29"/>
  <c r="H255" i="29"/>
  <c r="F254" i="29"/>
  <c r="D253" i="29"/>
  <c r="H251" i="29"/>
  <c r="F250" i="29"/>
  <c r="D249" i="29"/>
  <c r="H247" i="29"/>
  <c r="F246" i="29"/>
  <c r="D245" i="29"/>
  <c r="H243" i="29"/>
  <c r="F242" i="29"/>
  <c r="D241" i="29"/>
  <c r="H239" i="29"/>
  <c r="F238" i="29"/>
  <c r="D237" i="29"/>
  <c r="H235" i="29"/>
  <c r="F234" i="29"/>
  <c r="D233" i="29"/>
  <c r="H231" i="29"/>
  <c r="F230" i="29"/>
  <c r="D229" i="29"/>
  <c r="H227" i="29"/>
  <c r="F226" i="29"/>
  <c r="D225" i="29"/>
  <c r="H223" i="29"/>
  <c r="F222" i="29"/>
  <c r="D221" i="29"/>
  <c r="H219" i="29"/>
  <c r="F218" i="29"/>
  <c r="D217" i="29"/>
  <c r="H215" i="29"/>
  <c r="F214" i="29"/>
  <c r="D213" i="29"/>
  <c r="H211" i="29"/>
  <c r="F210" i="29"/>
  <c r="D209" i="29"/>
  <c r="H207" i="29"/>
  <c r="F206" i="29"/>
  <c r="D205" i="29"/>
  <c r="H203" i="29"/>
  <c r="F202" i="29"/>
  <c r="D201" i="29"/>
  <c r="H199" i="29"/>
  <c r="F198" i="29"/>
  <c r="D197" i="29"/>
  <c r="B370" i="29"/>
  <c r="E359" i="29"/>
  <c r="G348" i="29"/>
  <c r="B338" i="29"/>
  <c r="E327" i="29"/>
  <c r="G316" i="29"/>
  <c r="H307" i="29"/>
  <c r="F302" i="29"/>
  <c r="F298" i="29"/>
  <c r="E295" i="29"/>
  <c r="H291" i="29"/>
  <c r="G289" i="29"/>
  <c r="E287" i="29"/>
  <c r="D285" i="29"/>
  <c r="D283" i="29"/>
  <c r="B281" i="29"/>
  <c r="B279" i="29"/>
  <c r="G276" i="29"/>
  <c r="F274" i="29"/>
  <c r="F272" i="29"/>
  <c r="E270" i="29"/>
  <c r="F268" i="29"/>
  <c r="G266" i="29"/>
  <c r="D265" i="29"/>
  <c r="G263" i="29"/>
  <c r="E262" i="29"/>
  <c r="B261" i="29"/>
  <c r="G259" i="29"/>
  <c r="E258" i="29"/>
  <c r="B257" i="29"/>
  <c r="G255" i="29"/>
  <c r="E254" i="29"/>
  <c r="B253" i="29"/>
  <c r="G251" i="29"/>
  <c r="E250" i="29"/>
  <c r="B249" i="29"/>
  <c r="G247" i="29"/>
  <c r="E246" i="29"/>
  <c r="B245" i="29"/>
  <c r="G243" i="29"/>
  <c r="E242" i="29"/>
  <c r="B241" i="29"/>
  <c r="G239" i="29"/>
  <c r="E238" i="29"/>
  <c r="B237" i="29"/>
  <c r="G235" i="29"/>
  <c r="E234" i="29"/>
  <c r="B233" i="29"/>
  <c r="G231" i="29"/>
  <c r="E230" i="29"/>
  <c r="B229" i="29"/>
  <c r="G227" i="29"/>
  <c r="E226" i="29"/>
  <c r="B225" i="29"/>
  <c r="G223" i="29"/>
  <c r="E222" i="29"/>
  <c r="B221" i="29"/>
  <c r="G219" i="29"/>
  <c r="E218" i="29"/>
  <c r="B217" i="29"/>
  <c r="G215" i="29"/>
  <c r="E214" i="29"/>
  <c r="B213" i="29"/>
  <c r="G211" i="29"/>
  <c r="E210" i="29"/>
  <c r="B209" i="29"/>
  <c r="G207" i="29"/>
  <c r="E206" i="29"/>
  <c r="B205" i="29"/>
  <c r="G203" i="29"/>
  <c r="E202" i="29"/>
  <c r="B201" i="29"/>
  <c r="G199" i="29"/>
  <c r="E198" i="29"/>
  <c r="B197" i="29"/>
  <c r="G195" i="29"/>
  <c r="E194" i="29"/>
  <c r="B193" i="29"/>
  <c r="G191" i="29"/>
  <c r="G368" i="29"/>
  <c r="B326" i="29"/>
  <c r="E298" i="29"/>
  <c r="D287" i="29"/>
  <c r="F278" i="29"/>
  <c r="B270" i="29"/>
  <c r="F263" i="29"/>
  <c r="D258" i="29"/>
  <c r="H252" i="29"/>
  <c r="F247" i="29"/>
  <c r="D242" i="29"/>
  <c r="H236" i="29"/>
  <c r="F231" i="29"/>
  <c r="D226" i="29"/>
  <c r="H220" i="29"/>
  <c r="H216" i="29"/>
  <c r="F213" i="29"/>
  <c r="D211" i="29"/>
  <c r="H208" i="29"/>
  <c r="H206" i="29"/>
  <c r="G204" i="29"/>
  <c r="G202" i="29"/>
  <c r="F200" i="29"/>
  <c r="D198" i="29"/>
  <c r="D196" i="29"/>
  <c r="F194" i="29"/>
  <c r="G192" i="29"/>
  <c r="H190" i="29"/>
  <c r="E189" i="29"/>
  <c r="H187" i="29"/>
  <c r="E186" i="29"/>
  <c r="H184" i="29"/>
  <c r="E183" i="29"/>
  <c r="B182" i="29"/>
  <c r="G180" i="29"/>
  <c r="E179" i="29"/>
  <c r="B178" i="29"/>
  <c r="G176" i="29"/>
  <c r="E175" i="29"/>
  <c r="B174" i="29"/>
  <c r="G172" i="29"/>
  <c r="E171" i="29"/>
  <c r="B170" i="29"/>
  <c r="G168" i="29"/>
  <c r="E167" i="29"/>
  <c r="B166" i="29"/>
  <c r="G164" i="29"/>
  <c r="E163" i="29"/>
  <c r="B162" i="29"/>
  <c r="G160" i="29"/>
  <c r="E159" i="29"/>
  <c r="B158" i="29"/>
  <c r="G156" i="29"/>
  <c r="E155" i="29"/>
  <c r="B154" i="29"/>
  <c r="E367" i="29"/>
  <c r="G324" i="29"/>
  <c r="B298" i="29"/>
  <c r="B287" i="29"/>
  <c r="E278" i="29"/>
  <c r="H269" i="29"/>
  <c r="E263" i="29"/>
  <c r="B258" i="29"/>
  <c r="G252" i="29"/>
  <c r="E247" i="29"/>
  <c r="B242" i="29"/>
  <c r="G236" i="29"/>
  <c r="E231" i="29"/>
  <c r="B226" i="29"/>
  <c r="G220" i="29"/>
  <c r="G216" i="29"/>
  <c r="H212" i="29"/>
  <c r="H210" i="29"/>
  <c r="G208" i="29"/>
  <c r="G206" i="29"/>
  <c r="F204" i="29"/>
  <c r="D202" i="29"/>
  <c r="D200" i="29"/>
  <c r="B198" i="29"/>
  <c r="B196" i="29"/>
  <c r="D194" i="29"/>
  <c r="F192" i="29"/>
  <c r="G190" i="29"/>
  <c r="D189" i="29"/>
  <c r="G187" i="29"/>
  <c r="D186" i="29"/>
  <c r="G184" i="29"/>
  <c r="D183" i="29"/>
  <c r="H181" i="29"/>
  <c r="F180" i="29"/>
  <c r="D179" i="29"/>
  <c r="H177" i="29"/>
  <c r="F176" i="29"/>
  <c r="D175" i="29"/>
  <c r="H173" i="29"/>
  <c r="F172" i="29"/>
  <c r="D171" i="29"/>
  <c r="H169" i="29"/>
  <c r="F168" i="29"/>
  <c r="D167" i="29"/>
  <c r="H165" i="29"/>
  <c r="F164" i="29"/>
  <c r="D163" i="29"/>
  <c r="H161" i="29"/>
  <c r="F160" i="29"/>
  <c r="D159" i="29"/>
  <c r="H157" i="29"/>
  <c r="F156" i="29"/>
  <c r="D155" i="29"/>
  <c r="H153" i="29"/>
  <c r="F152" i="29"/>
  <c r="D151" i="29"/>
  <c r="H149" i="29"/>
  <c r="F148" i="29"/>
  <c r="D147" i="29"/>
  <c r="H145" i="29"/>
  <c r="F144" i="29"/>
  <c r="D143" i="29"/>
  <c r="H141" i="29"/>
  <c r="F140" i="29"/>
  <c r="D139" i="29"/>
  <c r="H137" i="29"/>
  <c r="F136" i="29"/>
  <c r="D135" i="29"/>
  <c r="H133" i="29"/>
  <c r="F132" i="29"/>
  <c r="D131" i="29"/>
  <c r="H129" i="29"/>
  <c r="F128" i="29"/>
  <c r="D127" i="29"/>
  <c r="H125" i="29"/>
  <c r="F124" i="29"/>
  <c r="D123" i="29"/>
  <c r="H121" i="29"/>
  <c r="F120" i="29"/>
  <c r="D119" i="29"/>
  <c r="H117" i="29"/>
  <c r="F116" i="29"/>
  <c r="D115" i="29"/>
  <c r="H113" i="29"/>
  <c r="B358" i="29"/>
  <c r="E315" i="29"/>
  <c r="F294" i="29"/>
  <c r="B285" i="29"/>
  <c r="F276" i="29"/>
  <c r="E268" i="29"/>
  <c r="D262" i="29"/>
  <c r="H256" i="29"/>
  <c r="F251" i="29"/>
  <c r="D246" i="29"/>
  <c r="H240" i="29"/>
  <c r="F235" i="29"/>
  <c r="D230" i="29"/>
  <c r="H224" i="29"/>
  <c r="F219" i="29"/>
  <c r="D216" i="29"/>
  <c r="G212" i="29"/>
  <c r="G210" i="29"/>
  <c r="F208" i="29"/>
  <c r="D206" i="29"/>
  <c r="D204" i="29"/>
  <c r="B202" i="29"/>
  <c r="B200" i="29"/>
  <c r="H197" i="29"/>
  <c r="H195" i="29"/>
  <c r="B194" i="29"/>
  <c r="D192" i="29"/>
  <c r="F190" i="29"/>
  <c r="B189" i="29"/>
  <c r="F187" i="29"/>
  <c r="B186" i="29"/>
  <c r="F184" i="29"/>
  <c r="B183" i="29"/>
  <c r="G181" i="29"/>
  <c r="E180" i="29"/>
  <c r="B179" i="29"/>
  <c r="G177" i="29"/>
  <c r="E176" i="29"/>
  <c r="B175" i="29"/>
  <c r="G173" i="29"/>
  <c r="E172" i="29"/>
  <c r="B171" i="29"/>
  <c r="G169" i="29"/>
  <c r="E168" i="29"/>
  <c r="B167" i="29"/>
  <c r="G165" i="29"/>
  <c r="E164" i="29"/>
  <c r="B163" i="29"/>
  <c r="G161" i="29"/>
  <c r="E160" i="29"/>
  <c r="B159" i="29"/>
  <c r="G157" i="29"/>
  <c r="E156" i="29"/>
  <c r="B155" i="29"/>
  <c r="G153" i="29"/>
  <c r="E152" i="29"/>
  <c r="B151" i="29"/>
  <c r="G149" i="29"/>
  <c r="E148" i="29"/>
  <c r="B147" i="29"/>
  <c r="G145" i="29"/>
  <c r="E144" i="29"/>
  <c r="B143" i="29"/>
  <c r="G141" i="29"/>
  <c r="E140" i="29"/>
  <c r="B139" i="29"/>
  <c r="G137" i="29"/>
  <c r="E136" i="29"/>
  <c r="B135" i="29"/>
  <c r="G133" i="29"/>
  <c r="E132" i="29"/>
  <c r="B131" i="29"/>
  <c r="G129" i="29"/>
  <c r="E128" i="29"/>
  <c r="B127" i="29"/>
  <c r="G125" i="29"/>
  <c r="E124" i="29"/>
  <c r="B123" i="29"/>
  <c r="G121" i="29"/>
  <c r="E120" i="29"/>
  <c r="B119" i="29"/>
  <c r="G117" i="29"/>
  <c r="E116" i="29"/>
  <c r="B115" i="29"/>
  <c r="G113" i="29"/>
  <c r="G356" i="29"/>
  <c r="B314" i="29"/>
  <c r="E294" i="29"/>
  <c r="G284" i="29"/>
  <c r="E276" i="29"/>
  <c r="B268" i="29"/>
  <c r="B262" i="29"/>
  <c r="G256" i="29"/>
  <c r="E251" i="29"/>
  <c r="B246" i="29"/>
  <c r="G240" i="29"/>
  <c r="E235" i="29"/>
  <c r="B230" i="29"/>
  <c r="G224" i="29"/>
  <c r="E219" i="29"/>
  <c r="F215" i="29"/>
  <c r="F212" i="29"/>
  <c r="D210" i="29"/>
  <c r="D208" i="29"/>
  <c r="B206" i="29"/>
  <c r="B204" i="29"/>
  <c r="H201" i="29"/>
  <c r="F199" i="29"/>
  <c r="F197" i="29"/>
  <c r="F195" i="29"/>
  <c r="H193" i="29"/>
  <c r="B192" i="29"/>
  <c r="E190" i="29"/>
  <c r="H188" i="29"/>
  <c r="E187" i="29"/>
  <c r="H185" i="29"/>
  <c r="D184" i="29"/>
  <c r="H182" i="29"/>
  <c r="F181" i="29"/>
  <c r="D180" i="29"/>
  <c r="H178" i="29"/>
  <c r="F177" i="29"/>
  <c r="D176" i="29"/>
  <c r="H174" i="29"/>
  <c r="F173" i="29"/>
  <c r="D172" i="29"/>
  <c r="H170" i="29"/>
  <c r="F169" i="29"/>
  <c r="D168" i="29"/>
  <c r="H166" i="29"/>
  <c r="F165" i="29"/>
  <c r="D164" i="29"/>
  <c r="H162" i="29"/>
  <c r="F161" i="29"/>
  <c r="D160" i="29"/>
  <c r="H158" i="29"/>
  <c r="F157" i="29"/>
  <c r="D156" i="29"/>
  <c r="H154" i="29"/>
  <c r="F153" i="29"/>
  <c r="D152" i="29"/>
  <c r="H150" i="29"/>
  <c r="F149" i="29"/>
  <c r="D148" i="29"/>
  <c r="H146" i="29"/>
  <c r="F145" i="29"/>
  <c r="D144" i="29"/>
  <c r="H142" i="29"/>
  <c r="F141" i="29"/>
  <c r="D140" i="29"/>
  <c r="H138" i="29"/>
  <c r="F137" i="29"/>
  <c r="D136" i="29"/>
  <c r="H134" i="29"/>
  <c r="F133" i="29"/>
  <c r="D132" i="29"/>
  <c r="H130" i="29"/>
  <c r="F129" i="29"/>
  <c r="D128" i="29"/>
  <c r="H126" i="29"/>
  <c r="F125" i="29"/>
  <c r="D124" i="29"/>
  <c r="H122" i="29"/>
  <c r="F121" i="29"/>
  <c r="D120" i="29"/>
  <c r="H118" i="29"/>
  <c r="E347" i="29"/>
  <c r="E307" i="29"/>
  <c r="G291" i="29"/>
  <c r="B283" i="29"/>
  <c r="E274" i="29"/>
  <c r="F266" i="29"/>
  <c r="H260" i="29"/>
  <c r="F255" i="29"/>
  <c r="D250" i="29"/>
  <c r="H244" i="29"/>
  <c r="F239" i="29"/>
  <c r="D234" i="29"/>
  <c r="H228" i="29"/>
  <c r="F223" i="29"/>
  <c r="H218" i="29"/>
  <c r="E215" i="29"/>
  <c r="D212" i="29"/>
  <c r="B210" i="29"/>
  <c r="B208" i="29"/>
  <c r="H205" i="29"/>
  <c r="F203" i="29"/>
  <c r="F201" i="29"/>
  <c r="E199" i="29"/>
  <c r="E197" i="29"/>
  <c r="E195" i="29"/>
  <c r="F193" i="29"/>
  <c r="H191" i="29"/>
  <c r="D190" i="29"/>
  <c r="G188" i="29"/>
  <c r="D187" i="29"/>
  <c r="F185" i="29"/>
  <c r="B184" i="29"/>
  <c r="G182" i="29"/>
  <c r="E181" i="29"/>
  <c r="B180" i="29"/>
  <c r="G178" i="29"/>
  <c r="E177" i="29"/>
  <c r="B176" i="29"/>
  <c r="G174" i="29"/>
  <c r="E173" i="29"/>
  <c r="B172" i="29"/>
  <c r="G170" i="29"/>
  <c r="E169" i="29"/>
  <c r="B168" i="29"/>
  <c r="G166" i="29"/>
  <c r="G336" i="29"/>
  <c r="B302" i="29"/>
  <c r="D289" i="29"/>
  <c r="G280" i="29"/>
  <c r="E272" i="29"/>
  <c r="B265" i="29"/>
  <c r="F259" i="29"/>
  <c r="D254" i="29"/>
  <c r="H248" i="29"/>
  <c r="F243" i="29"/>
  <c r="D238" i="29"/>
  <c r="H232" i="29"/>
  <c r="F227" i="29"/>
  <c r="D222" i="29"/>
  <c r="B218" i="29"/>
  <c r="D214" i="29"/>
  <c r="F211" i="29"/>
  <c r="F209" i="29"/>
  <c r="E207" i="29"/>
  <c r="E205" i="29"/>
  <c r="D203" i="29"/>
  <c r="H200" i="29"/>
  <c r="H198" i="29"/>
  <c r="G196" i="29"/>
  <c r="H194" i="29"/>
  <c r="D193" i="29"/>
  <c r="E191" i="29"/>
  <c r="H189" i="29"/>
  <c r="D188" i="29"/>
  <c r="G186" i="29"/>
  <c r="D185" i="29"/>
  <c r="G183" i="29"/>
  <c r="E182" i="29"/>
  <c r="B181" i="29"/>
  <c r="G179" i="29"/>
  <c r="E178" i="29"/>
  <c r="B177" i="29"/>
  <c r="G175" i="29"/>
  <c r="E174" i="29"/>
  <c r="B173" i="29"/>
  <c r="G171" i="29"/>
  <c r="E170" i="29"/>
  <c r="B169" i="29"/>
  <c r="G167" i="29"/>
  <c r="E166" i="29"/>
  <c r="B165" i="29"/>
  <c r="G163" i="29"/>
  <c r="E162" i="29"/>
  <c r="B161" i="29"/>
  <c r="G159" i="29"/>
  <c r="E158" i="29"/>
  <c r="B157" i="29"/>
  <c r="G155" i="29"/>
  <c r="E154" i="29"/>
  <c r="B153" i="29"/>
  <c r="G151" i="29"/>
  <c r="E150" i="29"/>
  <c r="B149" i="29"/>
  <c r="G147" i="29"/>
  <c r="E146" i="29"/>
  <c r="B145" i="29"/>
  <c r="G143" i="29"/>
  <c r="E142" i="29"/>
  <c r="B141" i="29"/>
  <c r="G139" i="29"/>
  <c r="E138" i="29"/>
  <c r="B137" i="29"/>
  <c r="G135" i="29"/>
  <c r="E134" i="29"/>
  <c r="B133" i="29"/>
  <c r="G131" i="29"/>
  <c r="E130" i="29"/>
  <c r="B129" i="29"/>
  <c r="G127" i="29"/>
  <c r="E126" i="29"/>
  <c r="B125" i="29"/>
  <c r="G123" i="29"/>
  <c r="E122" i="29"/>
  <c r="Q139" i="21" s="1"/>
  <c r="B121" i="29"/>
  <c r="G119" i="29"/>
  <c r="B346" i="29"/>
  <c r="B274" i="29"/>
  <c r="B250" i="29"/>
  <c r="G228" i="29"/>
  <c r="B212" i="29"/>
  <c r="E203" i="29"/>
  <c r="D195" i="29"/>
  <c r="F188" i="29"/>
  <c r="F182" i="29"/>
  <c r="D177" i="29"/>
  <c r="H171" i="29"/>
  <c r="F166" i="29"/>
  <c r="G162" i="29"/>
  <c r="F159" i="29"/>
  <c r="H155" i="29"/>
  <c r="G152" i="29"/>
  <c r="B150" i="29"/>
  <c r="E147" i="29"/>
  <c r="G144" i="29"/>
  <c r="B142" i="29"/>
  <c r="E139" i="29"/>
  <c r="G136" i="29"/>
  <c r="B134" i="29"/>
  <c r="E131" i="29"/>
  <c r="G128" i="29"/>
  <c r="B126" i="29"/>
  <c r="E123" i="29"/>
  <c r="G120" i="29"/>
  <c r="D118" i="29"/>
  <c r="D116" i="29"/>
  <c r="F114" i="29"/>
  <c r="H112" i="29"/>
  <c r="F111" i="29"/>
  <c r="D110" i="29"/>
  <c r="H108" i="29"/>
  <c r="F107" i="29"/>
  <c r="D106" i="29"/>
  <c r="H104" i="29"/>
  <c r="F103" i="29"/>
  <c r="D102" i="29"/>
  <c r="H100" i="29"/>
  <c r="F99" i="29"/>
  <c r="D98" i="29"/>
  <c r="H96" i="29"/>
  <c r="F95" i="29"/>
  <c r="D94" i="29"/>
  <c r="H92" i="29"/>
  <c r="F91" i="29"/>
  <c r="D90" i="29"/>
  <c r="H88" i="29"/>
  <c r="F87" i="29"/>
  <c r="D86" i="29"/>
  <c r="H84" i="29"/>
  <c r="F83" i="29"/>
  <c r="D82" i="29"/>
  <c r="H80" i="29"/>
  <c r="F79" i="29"/>
  <c r="D78" i="29"/>
  <c r="H76" i="29"/>
  <c r="F75" i="29"/>
  <c r="D74" i="29"/>
  <c r="H72" i="29"/>
  <c r="F71" i="29"/>
  <c r="D70" i="29"/>
  <c r="H68" i="29"/>
  <c r="F67" i="29"/>
  <c r="D66" i="29"/>
  <c r="H64" i="29"/>
  <c r="F63" i="29"/>
  <c r="D62" i="29"/>
  <c r="H60" i="29"/>
  <c r="F59" i="29"/>
  <c r="D58" i="29"/>
  <c r="H56" i="29"/>
  <c r="F55" i="29"/>
  <c r="D54" i="29"/>
  <c r="H52" i="29"/>
  <c r="F51" i="29"/>
  <c r="D50" i="29"/>
  <c r="H48" i="29"/>
  <c r="F47" i="29"/>
  <c r="D46" i="29"/>
  <c r="H44" i="29"/>
  <c r="F43" i="29"/>
  <c r="D42" i="29"/>
  <c r="E335" i="29"/>
  <c r="H271" i="29"/>
  <c r="G248" i="29"/>
  <c r="E227" i="29"/>
  <c r="E211" i="29"/>
  <c r="H202" i="29"/>
  <c r="G194" i="29"/>
  <c r="B188" i="29"/>
  <c r="D182" i="29"/>
  <c r="H176" i="29"/>
  <c r="F171" i="29"/>
  <c r="D166" i="29"/>
  <c r="F162" i="29"/>
  <c r="G158" i="29"/>
  <c r="F155" i="29"/>
  <c r="B152" i="29"/>
  <c r="E149" i="29"/>
  <c r="G146" i="29"/>
  <c r="B144" i="29"/>
  <c r="E141" i="29"/>
  <c r="G138" i="29"/>
  <c r="B136" i="29"/>
  <c r="E133" i="29"/>
  <c r="G130" i="29"/>
  <c r="B128" i="29"/>
  <c r="E125" i="29"/>
  <c r="G122" i="29"/>
  <c r="B120" i="29"/>
  <c r="B118" i="29"/>
  <c r="B116" i="29"/>
  <c r="E114" i="29"/>
  <c r="G112" i="29"/>
  <c r="E111" i="29"/>
  <c r="B110" i="29"/>
  <c r="G108" i="29"/>
  <c r="E107" i="29"/>
  <c r="B106" i="29"/>
  <c r="G104" i="29"/>
  <c r="E103" i="29"/>
  <c r="B102" i="29"/>
  <c r="G100" i="29"/>
  <c r="E99" i="29"/>
  <c r="B98" i="29"/>
  <c r="G96" i="29"/>
  <c r="E95" i="29"/>
  <c r="B94" i="29"/>
  <c r="G92" i="29"/>
  <c r="E91" i="29"/>
  <c r="B90" i="29"/>
  <c r="G88" i="29"/>
  <c r="E87" i="29"/>
  <c r="B86" i="29"/>
  <c r="G84" i="29"/>
  <c r="E83" i="29"/>
  <c r="B82" i="29"/>
  <c r="G80" i="29"/>
  <c r="E79" i="29"/>
  <c r="B78" i="29"/>
  <c r="G76" i="29"/>
  <c r="E75" i="29"/>
  <c r="B74" i="29"/>
  <c r="G72" i="29"/>
  <c r="E71" i="29"/>
  <c r="B70" i="29"/>
  <c r="G68" i="29"/>
  <c r="E67" i="29"/>
  <c r="B66" i="29"/>
  <c r="G64" i="29"/>
  <c r="E63" i="29"/>
  <c r="B62" i="29"/>
  <c r="G60" i="29"/>
  <c r="E59" i="29"/>
  <c r="B58" i="29"/>
  <c r="G56" i="29"/>
  <c r="E55" i="29"/>
  <c r="B54" i="29"/>
  <c r="G52" i="29"/>
  <c r="E51" i="29"/>
  <c r="B50" i="29"/>
  <c r="G48" i="29"/>
  <c r="F306" i="29"/>
  <c r="E266" i="29"/>
  <c r="G244" i="29"/>
  <c r="E223" i="29"/>
  <c r="H209" i="29"/>
  <c r="E201" i="29"/>
  <c r="E193" i="29"/>
  <c r="H186" i="29"/>
  <c r="D181" i="29"/>
  <c r="H175" i="29"/>
  <c r="F170" i="29"/>
  <c r="E165" i="29"/>
  <c r="D162" i="29"/>
  <c r="F158" i="29"/>
  <c r="G154" i="29"/>
  <c r="H151" i="29"/>
  <c r="D149" i="29"/>
  <c r="F146" i="29"/>
  <c r="H143" i="29"/>
  <c r="D141" i="29"/>
  <c r="F138" i="29"/>
  <c r="H135" i="29"/>
  <c r="D133" i="29"/>
  <c r="F130" i="29"/>
  <c r="H127" i="29"/>
  <c r="D125" i="29"/>
  <c r="F122" i="29"/>
  <c r="H119" i="29"/>
  <c r="F117" i="29"/>
  <c r="H115" i="29"/>
  <c r="D114" i="29"/>
  <c r="F112" i="29"/>
  <c r="D111" i="29"/>
  <c r="H109" i="29"/>
  <c r="F108" i="29"/>
  <c r="D107" i="29"/>
  <c r="H105" i="29"/>
  <c r="F104" i="29"/>
  <c r="D103" i="29"/>
  <c r="H101" i="29"/>
  <c r="F100" i="29"/>
  <c r="D99" i="29"/>
  <c r="H97" i="29"/>
  <c r="F96" i="29"/>
  <c r="D95" i="29"/>
  <c r="H93" i="29"/>
  <c r="F92" i="29"/>
  <c r="D91" i="29"/>
  <c r="H89" i="29"/>
  <c r="F88" i="29"/>
  <c r="D87" i="29"/>
  <c r="H85" i="29"/>
  <c r="F84" i="29"/>
  <c r="D83" i="29"/>
  <c r="H81" i="29"/>
  <c r="F80" i="29"/>
  <c r="D79" i="29"/>
  <c r="H77" i="29"/>
  <c r="F76" i="29"/>
  <c r="D75" i="29"/>
  <c r="H73" i="29"/>
  <c r="F72" i="29"/>
  <c r="D71" i="29"/>
  <c r="H69" i="29"/>
  <c r="F68" i="29"/>
  <c r="D67" i="29"/>
  <c r="H65" i="29"/>
  <c r="F64" i="29"/>
  <c r="D63" i="29"/>
  <c r="H61" i="29"/>
  <c r="F60" i="29"/>
  <c r="D59" i="29"/>
  <c r="H57" i="29"/>
  <c r="F56" i="29"/>
  <c r="D55" i="29"/>
  <c r="H53" i="29"/>
  <c r="F52" i="29"/>
  <c r="D301" i="29"/>
  <c r="G264" i="29"/>
  <c r="E243" i="29"/>
  <c r="B222" i="29"/>
  <c r="E209" i="29"/>
  <c r="G200" i="29"/>
  <c r="H192" i="29"/>
  <c r="F186" i="29"/>
  <c r="H180" i="29"/>
  <c r="F175" i="29"/>
  <c r="D170" i="29"/>
  <c r="D165" i="29"/>
  <c r="E161" i="29"/>
  <c r="D158" i="29"/>
  <c r="F154" i="29"/>
  <c r="F151" i="29"/>
  <c r="H148" i="29"/>
  <c r="D146" i="29"/>
  <c r="F143" i="29"/>
  <c r="H140" i="29"/>
  <c r="D138" i="29"/>
  <c r="F135" i="29"/>
  <c r="H132" i="29"/>
  <c r="D130" i="29"/>
  <c r="F127" i="29"/>
  <c r="H124" i="29"/>
  <c r="D122" i="29"/>
  <c r="F119" i="29"/>
  <c r="E117" i="29"/>
  <c r="G115" i="29"/>
  <c r="B114" i="29"/>
  <c r="E112" i="29"/>
  <c r="B111" i="29"/>
  <c r="G109" i="29"/>
  <c r="E108" i="29"/>
  <c r="B107" i="29"/>
  <c r="G105" i="29"/>
  <c r="E104" i="29"/>
  <c r="B103" i="29"/>
  <c r="G101" i="29"/>
  <c r="E100" i="29"/>
  <c r="B99" i="29"/>
  <c r="G97" i="29"/>
  <c r="E96" i="29"/>
  <c r="B95" i="29"/>
  <c r="G93" i="29"/>
  <c r="E92" i="29"/>
  <c r="B91" i="29"/>
  <c r="G89" i="29"/>
  <c r="E88" i="29"/>
  <c r="B87" i="29"/>
  <c r="G85" i="29"/>
  <c r="E84" i="29"/>
  <c r="B83" i="29"/>
  <c r="G81" i="29"/>
  <c r="E80" i="29"/>
  <c r="B79" i="29"/>
  <c r="G77" i="29"/>
  <c r="E76" i="29"/>
  <c r="B75" i="29"/>
  <c r="G73" i="29"/>
  <c r="E72" i="29"/>
  <c r="B71" i="29"/>
  <c r="G69" i="29"/>
  <c r="E68" i="29"/>
  <c r="B67" i="29"/>
  <c r="G65" i="29"/>
  <c r="E64" i="29"/>
  <c r="B63" i="29"/>
  <c r="G61" i="29"/>
  <c r="E60" i="29"/>
  <c r="B59" i="29"/>
  <c r="G57" i="29"/>
  <c r="E56" i="29"/>
  <c r="B55" i="29"/>
  <c r="G53" i="29"/>
  <c r="E52" i="29"/>
  <c r="B51" i="29"/>
  <c r="G49" i="29"/>
  <c r="F282" i="29"/>
  <c r="E255" i="29"/>
  <c r="B234" i="29"/>
  <c r="H214" i="29"/>
  <c r="F205" i="29"/>
  <c r="E291" i="29"/>
  <c r="G232" i="29"/>
  <c r="G198" i="29"/>
  <c r="B185" i="29"/>
  <c r="D174" i="29"/>
  <c r="B164" i="29"/>
  <c r="D157" i="29"/>
  <c r="G150" i="29"/>
  <c r="E145" i="29"/>
  <c r="B140" i="29"/>
  <c r="G134" i="29"/>
  <c r="E129" i="29"/>
  <c r="B124" i="29"/>
  <c r="G118" i="29"/>
  <c r="E115" i="29"/>
  <c r="B112" i="29"/>
  <c r="E109" i="29"/>
  <c r="G106" i="29"/>
  <c r="B104" i="29"/>
  <c r="E101" i="29"/>
  <c r="G98" i="29"/>
  <c r="B96" i="29"/>
  <c r="E93" i="29"/>
  <c r="G90" i="29"/>
  <c r="B88" i="29"/>
  <c r="E85" i="29"/>
  <c r="G82" i="29"/>
  <c r="B80" i="29"/>
  <c r="E77" i="29"/>
  <c r="G74" i="29"/>
  <c r="B72" i="29"/>
  <c r="E69" i="29"/>
  <c r="G66" i="29"/>
  <c r="B64" i="29"/>
  <c r="E61" i="29"/>
  <c r="G58" i="29"/>
  <c r="B56" i="29"/>
  <c r="E53" i="29"/>
  <c r="H50" i="29"/>
  <c r="B49" i="29"/>
  <c r="D47" i="29"/>
  <c r="G45" i="29"/>
  <c r="D44" i="29"/>
  <c r="G42" i="29"/>
  <c r="D41" i="29"/>
  <c r="H39" i="29"/>
  <c r="F38" i="29"/>
  <c r="D37" i="29"/>
  <c r="H35" i="29"/>
  <c r="F34" i="29"/>
  <c r="D33" i="29"/>
  <c r="H31" i="29"/>
  <c r="F30" i="29"/>
  <c r="D29" i="29"/>
  <c r="H27" i="29"/>
  <c r="F26" i="29"/>
  <c r="D25" i="29"/>
  <c r="H23" i="29"/>
  <c r="F22" i="29"/>
  <c r="D21" i="29"/>
  <c r="H19" i="29"/>
  <c r="F18" i="29"/>
  <c r="G70" i="29"/>
  <c r="E57" i="29"/>
  <c r="F46" i="29"/>
  <c r="H41" i="29"/>
  <c r="D35" i="29"/>
  <c r="D31" i="29"/>
  <c r="H25" i="29"/>
  <c r="D19" i="29"/>
  <c r="F178" i="29"/>
  <c r="H147" i="29"/>
  <c r="D121" i="29"/>
  <c r="D105" i="29"/>
  <c r="H91" i="29"/>
  <c r="F78" i="29"/>
  <c r="H67" i="29"/>
  <c r="B289" i="29"/>
  <c r="D218" i="29"/>
  <c r="H196" i="29"/>
  <c r="H183" i="29"/>
  <c r="D173" i="29"/>
  <c r="H163" i="29"/>
  <c r="H156" i="29"/>
  <c r="F150" i="29"/>
  <c r="D145" i="29"/>
  <c r="H139" i="29"/>
  <c r="F134" i="29"/>
  <c r="D129" i="29"/>
  <c r="H123" i="29"/>
  <c r="F118" i="29"/>
  <c r="H114" i="29"/>
  <c r="H111" i="29"/>
  <c r="D109" i="29"/>
  <c r="F106" i="29"/>
  <c r="H103" i="29"/>
  <c r="D101" i="29"/>
  <c r="F98" i="29"/>
  <c r="H95" i="29"/>
  <c r="D93" i="29"/>
  <c r="F90" i="29"/>
  <c r="H87" i="29"/>
  <c r="D85" i="29"/>
  <c r="F82" i="29"/>
  <c r="H79" i="29"/>
  <c r="D77" i="29"/>
  <c r="F74" i="29"/>
  <c r="H71" i="29"/>
  <c r="D69" i="29"/>
  <c r="F66" i="29"/>
  <c r="H63" i="29"/>
  <c r="D61" i="29"/>
  <c r="F58" i="29"/>
  <c r="H55" i="29"/>
  <c r="D53" i="29"/>
  <c r="G50" i="29"/>
  <c r="F48" i="29"/>
  <c r="B47" i="29"/>
  <c r="F45" i="29"/>
  <c r="B44" i="29"/>
  <c r="F42" i="29"/>
  <c r="B41" i="29"/>
  <c r="G39" i="29"/>
  <c r="E38" i="29"/>
  <c r="B37" i="29"/>
  <c r="G35" i="29"/>
  <c r="E34" i="29"/>
  <c r="B33" i="29"/>
  <c r="G31" i="29"/>
  <c r="E30" i="29"/>
  <c r="B29" i="29"/>
  <c r="G27" i="29"/>
  <c r="E26" i="29"/>
  <c r="B25" i="29"/>
  <c r="G23" i="29"/>
  <c r="E22" i="29"/>
  <c r="B21" i="29"/>
  <c r="G19" i="29"/>
  <c r="E18" i="29"/>
  <c r="B76" i="29"/>
  <c r="B52" i="29"/>
  <c r="B45" i="29"/>
  <c r="F36" i="29"/>
  <c r="F28" i="29"/>
  <c r="H21" i="29"/>
  <c r="B254" i="29"/>
  <c r="D153" i="29"/>
  <c r="H131" i="29"/>
  <c r="D113" i="29"/>
  <c r="H99" i="29"/>
  <c r="F86" i="29"/>
  <c r="F70" i="29"/>
  <c r="F280" i="29"/>
  <c r="F217" i="29"/>
  <c r="F196" i="29"/>
  <c r="F183" i="29"/>
  <c r="H172" i="29"/>
  <c r="F163" i="29"/>
  <c r="B156" i="29"/>
  <c r="D150" i="29"/>
  <c r="H144" i="29"/>
  <c r="F139" i="29"/>
  <c r="D134" i="29"/>
  <c r="H128" i="29"/>
  <c r="F123" i="29"/>
  <c r="E118" i="29"/>
  <c r="G114" i="29"/>
  <c r="G111" i="29"/>
  <c r="B109" i="29"/>
  <c r="E106" i="29"/>
  <c r="G103" i="29"/>
  <c r="B101" i="29"/>
  <c r="E98" i="29"/>
  <c r="G95" i="29"/>
  <c r="B93" i="29"/>
  <c r="E90" i="29"/>
  <c r="G87" i="29"/>
  <c r="B85" i="29"/>
  <c r="E82" i="29"/>
  <c r="G79" i="29"/>
  <c r="B77" i="29"/>
  <c r="E74" i="29"/>
  <c r="G71" i="29"/>
  <c r="B69" i="29"/>
  <c r="E66" i="29"/>
  <c r="G63" i="29"/>
  <c r="B61" i="29"/>
  <c r="E58" i="29"/>
  <c r="G55" i="29"/>
  <c r="B53" i="29"/>
  <c r="F50" i="29"/>
  <c r="E48" i="29"/>
  <c r="H46" i="29"/>
  <c r="E45" i="29"/>
  <c r="H43" i="29"/>
  <c r="E42" i="29"/>
  <c r="H40" i="29"/>
  <c r="F39" i="29"/>
  <c r="D38" i="29"/>
  <c r="H36" i="29"/>
  <c r="F35" i="29"/>
  <c r="D34" i="29"/>
  <c r="H32" i="29"/>
  <c r="F31" i="29"/>
  <c r="D30" i="29"/>
  <c r="H28" i="29"/>
  <c r="F27" i="29"/>
  <c r="D26" i="29"/>
  <c r="H24" i="29"/>
  <c r="F23" i="29"/>
  <c r="D22" i="29"/>
  <c r="H20" i="29"/>
  <c r="F19" i="29"/>
  <c r="D18" i="29"/>
  <c r="E73" i="29"/>
  <c r="G54" i="29"/>
  <c r="E43" i="29"/>
  <c r="H37" i="29"/>
  <c r="H29" i="29"/>
  <c r="F24" i="29"/>
  <c r="D207" i="29"/>
  <c r="B160" i="29"/>
  <c r="F126" i="29"/>
  <c r="F110" i="29"/>
  <c r="D97" i="29"/>
  <c r="H83" i="29"/>
  <c r="D73" i="29"/>
  <c r="G260" i="29"/>
  <c r="B214" i="29"/>
  <c r="F191" i="29"/>
  <c r="H179" i="29"/>
  <c r="D169" i="29"/>
  <c r="D161" i="29"/>
  <c r="D154" i="29"/>
  <c r="G148" i="29"/>
  <c r="E143" i="29"/>
  <c r="B138" i="29"/>
  <c r="G132" i="29"/>
  <c r="E127" i="29"/>
  <c r="B122" i="29"/>
  <c r="D117" i="29"/>
  <c r="F113" i="29"/>
  <c r="H110" i="29"/>
  <c r="D108" i="29"/>
  <c r="F105" i="29"/>
  <c r="H102" i="29"/>
  <c r="D100" i="29"/>
  <c r="F97" i="29"/>
  <c r="H94" i="29"/>
  <c r="D92" i="29"/>
  <c r="F89" i="29"/>
  <c r="H86" i="29"/>
  <c r="D84" i="29"/>
  <c r="F81" i="29"/>
  <c r="H78" i="29"/>
  <c r="D76" i="29"/>
  <c r="F73" i="29"/>
  <c r="H70" i="29"/>
  <c r="D68" i="29"/>
  <c r="F65" i="29"/>
  <c r="H62" i="29"/>
  <c r="D60" i="29"/>
  <c r="F57" i="29"/>
  <c r="H54" i="29"/>
  <c r="D52" i="29"/>
  <c r="E50" i="29"/>
  <c r="D48" i="29"/>
  <c r="G46" i="29"/>
  <c r="D45" i="29"/>
  <c r="G43" i="29"/>
  <c r="B42" i="29"/>
  <c r="G40" i="29"/>
  <c r="E39" i="29"/>
  <c r="B38" i="29"/>
  <c r="G36" i="29"/>
  <c r="E35" i="29"/>
  <c r="B34" i="29"/>
  <c r="G32" i="29"/>
  <c r="E31" i="29"/>
  <c r="B30" i="29"/>
  <c r="G28" i="29"/>
  <c r="E27" i="29"/>
  <c r="B26" i="29"/>
  <c r="G24" i="29"/>
  <c r="E23" i="29"/>
  <c r="B22" i="29"/>
  <c r="G20" i="29"/>
  <c r="E19" i="29"/>
  <c r="B18" i="29"/>
  <c r="E65" i="29"/>
  <c r="H49" i="29"/>
  <c r="F40" i="29"/>
  <c r="H33" i="29"/>
  <c r="D27" i="29"/>
  <c r="F20" i="29"/>
  <c r="B190" i="29"/>
  <c r="D137" i="29"/>
  <c r="H107" i="29"/>
  <c r="F94" i="29"/>
  <c r="D81" i="29"/>
  <c r="E259" i="29"/>
  <c r="F207" i="29"/>
  <c r="D191" i="29"/>
  <c r="F179" i="29"/>
  <c r="H168" i="29"/>
  <c r="H160" i="29"/>
  <c r="E153" i="29"/>
  <c r="B148" i="29"/>
  <c r="G142" i="29"/>
  <c r="E137" i="29"/>
  <c r="B132" i="29"/>
  <c r="G126" i="29"/>
  <c r="E121" i="29"/>
  <c r="B117" i="29"/>
  <c r="E113" i="29"/>
  <c r="G110" i="29"/>
  <c r="B108" i="29"/>
  <c r="E105" i="29"/>
  <c r="G102" i="29"/>
  <c r="B100" i="29"/>
  <c r="E97" i="29"/>
  <c r="G94" i="29"/>
  <c r="B92" i="29"/>
  <c r="E89" i="29"/>
  <c r="G86" i="29"/>
  <c r="B84" i="29"/>
  <c r="E81" i="29"/>
  <c r="G78" i="29"/>
  <c r="B68" i="29"/>
  <c r="G62" i="29"/>
  <c r="B60" i="29"/>
  <c r="B48" i="29"/>
  <c r="D39" i="29"/>
  <c r="F32" i="29"/>
  <c r="D23" i="29"/>
  <c r="H167" i="29"/>
  <c r="F142" i="29"/>
  <c r="H116" i="29"/>
  <c r="F102" i="29"/>
  <c r="D89" i="29"/>
  <c r="H75" i="29"/>
  <c r="E239" i="29"/>
  <c r="F167" i="29"/>
  <c r="D142" i="29"/>
  <c r="H120" i="29"/>
  <c r="G107" i="29"/>
  <c r="B97" i="29"/>
  <c r="E86" i="29"/>
  <c r="G75" i="29"/>
  <c r="D65" i="29"/>
  <c r="H58" i="29"/>
  <c r="G51" i="29"/>
  <c r="E46" i="29"/>
  <c r="H42" i="29"/>
  <c r="H38" i="29"/>
  <c r="B35" i="29"/>
  <c r="B32" i="29"/>
  <c r="D28" i="29"/>
  <c r="E24" i="29"/>
  <c r="E21" i="29"/>
  <c r="B130" i="29"/>
  <c r="H90" i="29"/>
  <c r="E54" i="29"/>
  <c r="E33" i="29"/>
  <c r="D126" i="29"/>
  <c r="G67" i="29"/>
  <c r="G47" i="29"/>
  <c r="E29" i="29"/>
  <c r="B146" i="29"/>
  <c r="H66" i="29"/>
  <c r="B43" i="29"/>
  <c r="E25" i="29"/>
  <c r="B238" i="29"/>
  <c r="H164" i="29"/>
  <c r="G140" i="29"/>
  <c r="E119" i="29"/>
  <c r="H106" i="29"/>
  <c r="D96" i="29"/>
  <c r="F85" i="29"/>
  <c r="H74" i="29"/>
  <c r="B65" i="29"/>
  <c r="D57" i="29"/>
  <c r="D51" i="29"/>
  <c r="B46" i="29"/>
  <c r="G41" i="29"/>
  <c r="G38" i="29"/>
  <c r="H34" i="29"/>
  <c r="B31" i="29"/>
  <c r="B28" i="29"/>
  <c r="D24" i="29"/>
  <c r="E20" i="29"/>
  <c r="E185" i="29"/>
  <c r="F61" i="29"/>
  <c r="E36" i="29"/>
  <c r="G22" i="29"/>
  <c r="D178" i="29"/>
  <c r="B89" i="29"/>
  <c r="F53" i="29"/>
  <c r="E32" i="29"/>
  <c r="F174" i="29"/>
  <c r="D88" i="29"/>
  <c r="E47" i="29"/>
  <c r="D32" i="29"/>
  <c r="H204" i="29"/>
  <c r="H159" i="29"/>
  <c r="H136" i="29"/>
  <c r="G116" i="29"/>
  <c r="B105" i="29"/>
  <c r="E94" i="29"/>
  <c r="G83" i="29"/>
  <c r="B73" i="29"/>
  <c r="D64" i="29"/>
  <c r="B57" i="29"/>
  <c r="F49" i="29"/>
  <c r="H45" i="29"/>
  <c r="F41" i="29"/>
  <c r="G37" i="29"/>
  <c r="G34" i="29"/>
  <c r="H30" i="29"/>
  <c r="B27" i="29"/>
  <c r="B24" i="29"/>
  <c r="D20" i="29"/>
  <c r="E151" i="29"/>
  <c r="F69" i="29"/>
  <c r="E44" i="29"/>
  <c r="G25" i="29"/>
  <c r="E110" i="29"/>
  <c r="H59" i="29"/>
  <c r="D36" i="29"/>
  <c r="F25" i="29"/>
  <c r="F109" i="29"/>
  <c r="F77" i="29"/>
  <c r="H51" i="29"/>
  <c r="E28" i="29"/>
  <c r="D199" i="29"/>
  <c r="E157" i="29"/>
  <c r="E135" i="29"/>
  <c r="F115" i="29"/>
  <c r="D104" i="29"/>
  <c r="F93" i="29"/>
  <c r="H82" i="29"/>
  <c r="D72" i="29"/>
  <c r="F62" i="29"/>
  <c r="D56" i="29"/>
  <c r="E49" i="29"/>
  <c r="G44" i="29"/>
  <c r="E41" i="29"/>
  <c r="F37" i="29"/>
  <c r="G33" i="29"/>
  <c r="G30" i="29"/>
  <c r="H26" i="29"/>
  <c r="B23" i="29"/>
  <c r="B20" i="29"/>
  <c r="F101" i="29"/>
  <c r="D40" i="29"/>
  <c r="H18" i="29"/>
  <c r="G99" i="29"/>
  <c r="D43" i="29"/>
  <c r="G21" i="29"/>
  <c r="H98" i="29"/>
  <c r="B36" i="29"/>
  <c r="F189" i="29"/>
  <c r="H152" i="29"/>
  <c r="F131" i="29"/>
  <c r="B113" i="29"/>
  <c r="E102" i="29"/>
  <c r="G91" i="29"/>
  <c r="B81" i="29"/>
  <c r="E70" i="29"/>
  <c r="E62" i="29"/>
  <c r="F54" i="29"/>
  <c r="D49" i="29"/>
  <c r="F44" i="29"/>
  <c r="E40" i="29"/>
  <c r="E37" i="29"/>
  <c r="F33" i="29"/>
  <c r="G29" i="29"/>
  <c r="G26" i="29"/>
  <c r="H22" i="29"/>
  <c r="B19" i="29"/>
  <c r="D112" i="29"/>
  <c r="D80" i="29"/>
  <c r="H47" i="29"/>
  <c r="F29" i="29"/>
  <c r="F147" i="29"/>
  <c r="E78" i="29"/>
  <c r="B40" i="29"/>
  <c r="G18" i="29"/>
  <c r="G124" i="29"/>
  <c r="G59" i="29"/>
  <c r="B39" i="29"/>
  <c r="F21" i="29"/>
  <c r="E9" i="28"/>
  <c r="C39" i="21"/>
  <c r="N43" i="21"/>
  <c r="N47" i="21" s="1"/>
  <c r="E3" i="27"/>
  <c r="G53" i="21"/>
  <c r="K90" i="31" s="1"/>
  <c r="Q26" i="21"/>
  <c r="G52" i="21" s="1"/>
  <c r="Q11" i="21"/>
  <c r="Q12" i="21" s="1"/>
  <c r="F176" i="21" l="1"/>
  <c r="F49" i="31"/>
  <c r="K168" i="21"/>
  <c r="K171" i="21" s="1"/>
  <c r="N168" i="21"/>
  <c r="M168" i="21"/>
  <c r="M171" i="21" s="1"/>
  <c r="L168" i="21"/>
  <c r="L171" i="21" s="1"/>
  <c r="E16" i="29"/>
  <c r="N169" i="21" s="1"/>
  <c r="H377" i="28"/>
  <c r="F376" i="28"/>
  <c r="D375" i="28"/>
  <c r="H373" i="28"/>
  <c r="F372" i="28"/>
  <c r="D371" i="28"/>
  <c r="H369" i="28"/>
  <c r="F368" i="28"/>
  <c r="D367" i="28"/>
  <c r="H365" i="28"/>
  <c r="F364" i="28"/>
  <c r="D363" i="28"/>
  <c r="H361" i="28"/>
  <c r="F360" i="28"/>
  <c r="D359" i="28"/>
  <c r="H357" i="28"/>
  <c r="F356" i="28"/>
  <c r="D355" i="28"/>
  <c r="H353" i="28"/>
  <c r="F352" i="28"/>
  <c r="D351" i="28"/>
  <c r="H349" i="28"/>
  <c r="F348" i="28"/>
  <c r="D347" i="28"/>
  <c r="H345" i="28"/>
  <c r="F344" i="28"/>
  <c r="D343" i="28"/>
  <c r="H341" i="28"/>
  <c r="F340" i="28"/>
  <c r="D339" i="28"/>
  <c r="H337" i="28"/>
  <c r="F336" i="28"/>
  <c r="D335" i="28"/>
  <c r="H333" i="28"/>
  <c r="F332" i="28"/>
  <c r="D331" i="28"/>
  <c r="H329" i="28"/>
  <c r="F328" i="28"/>
  <c r="D327" i="28"/>
  <c r="H325" i="28"/>
  <c r="F324" i="28"/>
  <c r="D323" i="28"/>
  <c r="H321" i="28"/>
  <c r="F320" i="28"/>
  <c r="D319" i="28"/>
  <c r="H317" i="28"/>
  <c r="F316" i="28"/>
  <c r="D315" i="28"/>
  <c r="H313" i="28"/>
  <c r="F312" i="28"/>
  <c r="D311" i="28"/>
  <c r="H309" i="28"/>
  <c r="F308" i="28"/>
  <c r="D307" i="28"/>
  <c r="H305" i="28"/>
  <c r="F304" i="28"/>
  <c r="D303" i="28"/>
  <c r="H301" i="28"/>
  <c r="F300" i="28"/>
  <c r="D299" i="28"/>
  <c r="H297" i="28"/>
  <c r="F296" i="28"/>
  <c r="D295" i="28"/>
  <c r="H293" i="28"/>
  <c r="F292" i="28"/>
  <c r="D291" i="28"/>
  <c r="H289" i="28"/>
  <c r="F288" i="28"/>
  <c r="D287" i="28"/>
  <c r="H285" i="28"/>
  <c r="F284" i="28"/>
  <c r="D283" i="28"/>
  <c r="H281" i="28"/>
  <c r="F280" i="28"/>
  <c r="D279" i="28"/>
  <c r="H277" i="28"/>
  <c r="F276" i="28"/>
  <c r="D275" i="28"/>
  <c r="H273" i="28"/>
  <c r="F272" i="28"/>
  <c r="D271" i="28"/>
  <c r="H269" i="28"/>
  <c r="F268" i="28"/>
  <c r="D267" i="28"/>
  <c r="H265" i="28"/>
  <c r="G377" i="28"/>
  <c r="E376" i="28"/>
  <c r="B375" i="28"/>
  <c r="G373" i="28"/>
  <c r="E372" i="28"/>
  <c r="B371" i="28"/>
  <c r="G369" i="28"/>
  <c r="E368" i="28"/>
  <c r="B367" i="28"/>
  <c r="G365" i="28"/>
  <c r="E364" i="28"/>
  <c r="B363" i="28"/>
  <c r="G361" i="28"/>
  <c r="E360" i="28"/>
  <c r="B359" i="28"/>
  <c r="G357" i="28"/>
  <c r="E356" i="28"/>
  <c r="B355" i="28"/>
  <c r="G353" i="28"/>
  <c r="E352" i="28"/>
  <c r="B351" i="28"/>
  <c r="G349" i="28"/>
  <c r="E348" i="28"/>
  <c r="B347" i="28"/>
  <c r="G345" i="28"/>
  <c r="E344" i="28"/>
  <c r="B343" i="28"/>
  <c r="G341" i="28"/>
  <c r="E340" i="28"/>
  <c r="B339" i="28"/>
  <c r="G337" i="28"/>
  <c r="E336" i="28"/>
  <c r="B335" i="28"/>
  <c r="G333" i="28"/>
  <c r="E332" i="28"/>
  <c r="B331" i="28"/>
  <c r="G329" i="28"/>
  <c r="E328" i="28"/>
  <c r="B327" i="28"/>
  <c r="G325" i="28"/>
  <c r="E324" i="28"/>
  <c r="B323" i="28"/>
  <c r="G321" i="28"/>
  <c r="E320" i="28"/>
  <c r="B319" i="28"/>
  <c r="G317" i="28"/>
  <c r="E316" i="28"/>
  <c r="B315" i="28"/>
  <c r="G313" i="28"/>
  <c r="E312" i="28"/>
  <c r="B311" i="28"/>
  <c r="G309" i="28"/>
  <c r="E308" i="28"/>
  <c r="B307" i="28"/>
  <c r="G305" i="28"/>
  <c r="E304" i="28"/>
  <c r="B303" i="28"/>
  <c r="G301" i="28"/>
  <c r="E300" i="28"/>
  <c r="B299" i="28"/>
  <c r="G297" i="28"/>
  <c r="E296" i="28"/>
  <c r="B295" i="28"/>
  <c r="G293" i="28"/>
  <c r="E292" i="28"/>
  <c r="B291" i="28"/>
  <c r="G289" i="28"/>
  <c r="E288" i="28"/>
  <c r="B287" i="28"/>
  <c r="G285" i="28"/>
  <c r="E284" i="28"/>
  <c r="B283" i="28"/>
  <c r="G281" i="28"/>
  <c r="E280" i="28"/>
  <c r="B279" i="28"/>
  <c r="G277" i="28"/>
  <c r="E276" i="28"/>
  <c r="B275" i="28"/>
  <c r="G273" i="28"/>
  <c r="E272" i="28"/>
  <c r="F377" i="28"/>
  <c r="D376" i="28"/>
  <c r="H374" i="28"/>
  <c r="F373" i="28"/>
  <c r="D372" i="28"/>
  <c r="H370" i="28"/>
  <c r="F369" i="28"/>
  <c r="D368" i="28"/>
  <c r="H366" i="28"/>
  <c r="F365" i="28"/>
  <c r="D364" i="28"/>
  <c r="H362" i="28"/>
  <c r="F361" i="28"/>
  <c r="D360" i="28"/>
  <c r="H358" i="28"/>
  <c r="F357" i="28"/>
  <c r="D356" i="28"/>
  <c r="H354" i="28"/>
  <c r="F353" i="28"/>
  <c r="D352" i="28"/>
  <c r="H350" i="28"/>
  <c r="F349" i="28"/>
  <c r="D348" i="28"/>
  <c r="H346" i="28"/>
  <c r="F345" i="28"/>
  <c r="D344" i="28"/>
  <c r="H342" i="28"/>
  <c r="F341" i="28"/>
  <c r="D340" i="28"/>
  <c r="H338" i="28"/>
  <c r="F337" i="28"/>
  <c r="D336" i="28"/>
  <c r="H334" i="28"/>
  <c r="F333" i="28"/>
  <c r="D332" i="28"/>
  <c r="H330" i="28"/>
  <c r="F329" i="28"/>
  <c r="D328" i="28"/>
  <c r="H326" i="28"/>
  <c r="F325" i="28"/>
  <c r="D324" i="28"/>
  <c r="H322" i="28"/>
  <c r="F321" i="28"/>
  <c r="D320" i="28"/>
  <c r="H318" i="28"/>
  <c r="F317" i="28"/>
  <c r="D316" i="28"/>
  <c r="H314" i="28"/>
  <c r="F313" i="28"/>
  <c r="D312" i="28"/>
  <c r="H310" i="28"/>
  <c r="F309" i="28"/>
  <c r="D308" i="28"/>
  <c r="H306" i="28"/>
  <c r="F305" i="28"/>
  <c r="D304" i="28"/>
  <c r="H302" i="28"/>
  <c r="F301" i="28"/>
  <c r="D300" i="28"/>
  <c r="H298" i="28"/>
  <c r="F297" i="28"/>
  <c r="D296" i="28"/>
  <c r="H294" i="28"/>
  <c r="F293" i="28"/>
  <c r="D292" i="28"/>
  <c r="H290" i="28"/>
  <c r="F289" i="28"/>
  <c r="D288" i="28"/>
  <c r="H286" i="28"/>
  <c r="F285" i="28"/>
  <c r="D284" i="28"/>
  <c r="H282" i="28"/>
  <c r="F281" i="28"/>
  <c r="D280" i="28"/>
  <c r="H278" i="28"/>
  <c r="F277" i="28"/>
  <c r="D276" i="28"/>
  <c r="H274" i="28"/>
  <c r="F273" i="28"/>
  <c r="D272" i="28"/>
  <c r="H270" i="28"/>
  <c r="F269" i="28"/>
  <c r="D268" i="28"/>
  <c r="H266" i="28"/>
  <c r="F265" i="28"/>
  <c r="E377" i="28"/>
  <c r="B376" i="28"/>
  <c r="G374" i="28"/>
  <c r="E373" i="28"/>
  <c r="B372" i="28"/>
  <c r="G370" i="28"/>
  <c r="E369" i="28"/>
  <c r="B368" i="28"/>
  <c r="G366" i="28"/>
  <c r="E365" i="28"/>
  <c r="B364" i="28"/>
  <c r="G362" i="28"/>
  <c r="E361" i="28"/>
  <c r="B360" i="28"/>
  <c r="G358" i="28"/>
  <c r="E357" i="28"/>
  <c r="B356" i="28"/>
  <c r="G354" i="28"/>
  <c r="E353" i="28"/>
  <c r="B352" i="28"/>
  <c r="G350" i="28"/>
  <c r="E349" i="28"/>
  <c r="B348" i="28"/>
  <c r="G346" i="28"/>
  <c r="E345" i="28"/>
  <c r="B344" i="28"/>
  <c r="G342" i="28"/>
  <c r="E341" i="28"/>
  <c r="B340" i="28"/>
  <c r="G338" i="28"/>
  <c r="E337" i="28"/>
  <c r="B336" i="28"/>
  <c r="G334" i="28"/>
  <c r="E333" i="28"/>
  <c r="B332" i="28"/>
  <c r="G330" i="28"/>
  <c r="E329" i="28"/>
  <c r="B328" i="28"/>
  <c r="G326" i="28"/>
  <c r="E325" i="28"/>
  <c r="B324" i="28"/>
  <c r="G322" i="28"/>
  <c r="E321" i="28"/>
  <c r="B320" i="28"/>
  <c r="G318" i="28"/>
  <c r="E317" i="28"/>
  <c r="B316" i="28"/>
  <c r="G314" i="28"/>
  <c r="E313" i="28"/>
  <c r="B312" i="28"/>
  <c r="G310" i="28"/>
  <c r="E309" i="28"/>
  <c r="B308" i="28"/>
  <c r="G306" i="28"/>
  <c r="E305" i="28"/>
  <c r="B304" i="28"/>
  <c r="G302" i="28"/>
  <c r="E301" i="28"/>
  <c r="B300" i="28"/>
  <c r="G298" i="28"/>
  <c r="E297" i="28"/>
  <c r="B296" i="28"/>
  <c r="G294" i="28"/>
  <c r="E293" i="28"/>
  <c r="B292" i="28"/>
  <c r="G290" i="28"/>
  <c r="E289" i="28"/>
  <c r="B288" i="28"/>
  <c r="G286" i="28"/>
  <c r="E285" i="28"/>
  <c r="B284" i="28"/>
  <c r="G282" i="28"/>
  <c r="E281" i="28"/>
  <c r="B280" i="28"/>
  <c r="G278" i="28"/>
  <c r="E277" i="28"/>
  <c r="D377" i="28"/>
  <c r="H375" i="28"/>
  <c r="F374" i="28"/>
  <c r="D373" i="28"/>
  <c r="H371" i="28"/>
  <c r="F370" i="28"/>
  <c r="D369" i="28"/>
  <c r="H367" i="28"/>
  <c r="F366" i="28"/>
  <c r="D365" i="28"/>
  <c r="H363" i="28"/>
  <c r="F362" i="28"/>
  <c r="D361" i="28"/>
  <c r="H359" i="28"/>
  <c r="F358" i="28"/>
  <c r="D357" i="28"/>
  <c r="H355" i="28"/>
  <c r="F354" i="28"/>
  <c r="D353" i="28"/>
  <c r="H351" i="28"/>
  <c r="F350" i="28"/>
  <c r="D349" i="28"/>
  <c r="H347" i="28"/>
  <c r="F346" i="28"/>
  <c r="D345" i="28"/>
  <c r="H343" i="28"/>
  <c r="F342" i="28"/>
  <c r="D341" i="28"/>
  <c r="H339" i="28"/>
  <c r="F338" i="28"/>
  <c r="D337" i="28"/>
  <c r="H335" i="28"/>
  <c r="F334" i="28"/>
  <c r="D333" i="28"/>
  <c r="H331" i="28"/>
  <c r="F330" i="28"/>
  <c r="D329" i="28"/>
  <c r="H327" i="28"/>
  <c r="F326" i="28"/>
  <c r="D325" i="28"/>
  <c r="H323" i="28"/>
  <c r="F322" i="28"/>
  <c r="D321" i="28"/>
  <c r="H319" i="28"/>
  <c r="F318" i="28"/>
  <c r="D317" i="28"/>
  <c r="H315" i="28"/>
  <c r="F314" i="28"/>
  <c r="D313" i="28"/>
  <c r="H311" i="28"/>
  <c r="F310" i="28"/>
  <c r="D309" i="28"/>
  <c r="H307" i="28"/>
  <c r="F306" i="28"/>
  <c r="D305" i="28"/>
  <c r="H303" i="28"/>
  <c r="F302" i="28"/>
  <c r="D301" i="28"/>
  <c r="H299" i="28"/>
  <c r="F298" i="28"/>
  <c r="D297" i="28"/>
  <c r="H295" i="28"/>
  <c r="F294" i="28"/>
  <c r="D293" i="28"/>
  <c r="H291" i="28"/>
  <c r="B377" i="28"/>
  <c r="G375" i="28"/>
  <c r="E374" i="28"/>
  <c r="B373" i="28"/>
  <c r="G371" i="28"/>
  <c r="E370" i="28"/>
  <c r="B369" i="28"/>
  <c r="G367" i="28"/>
  <c r="E366" i="28"/>
  <c r="B365" i="28"/>
  <c r="G363" i="28"/>
  <c r="E362" i="28"/>
  <c r="B361" i="28"/>
  <c r="G359" i="28"/>
  <c r="E358" i="28"/>
  <c r="B357" i="28"/>
  <c r="G355" i="28"/>
  <c r="E354" i="28"/>
  <c r="B353" i="28"/>
  <c r="G351" i="28"/>
  <c r="E350" i="28"/>
  <c r="B349" i="28"/>
  <c r="G347" i="28"/>
  <c r="E346" i="28"/>
  <c r="B345" i="28"/>
  <c r="G343" i="28"/>
  <c r="E342" i="28"/>
  <c r="B341" i="28"/>
  <c r="G339" i="28"/>
  <c r="E338" i="28"/>
  <c r="B337" i="28"/>
  <c r="G335" i="28"/>
  <c r="E334" i="28"/>
  <c r="B333" i="28"/>
  <c r="G331" i="28"/>
  <c r="E330" i="28"/>
  <c r="B329" i="28"/>
  <c r="G327" i="28"/>
  <c r="E326" i="28"/>
  <c r="B325" i="28"/>
  <c r="G323" i="28"/>
  <c r="E322" i="28"/>
  <c r="B321" i="28"/>
  <c r="G319" i="28"/>
  <c r="E318" i="28"/>
  <c r="B317" i="28"/>
  <c r="G315" i="28"/>
  <c r="E314" i="28"/>
  <c r="B313" i="28"/>
  <c r="G311" i="28"/>
  <c r="E310" i="28"/>
  <c r="B309" i="28"/>
  <c r="G307" i="28"/>
  <c r="E306" i="28"/>
  <c r="B305" i="28"/>
  <c r="G303" i="28"/>
  <c r="E302" i="28"/>
  <c r="B301" i="28"/>
  <c r="G299" i="28"/>
  <c r="E298" i="28"/>
  <c r="B297" i="28"/>
  <c r="G295" i="28"/>
  <c r="E294" i="28"/>
  <c r="B293" i="28"/>
  <c r="G291" i="28"/>
  <c r="E290" i="28"/>
  <c r="B289" i="28"/>
  <c r="G287" i="28"/>
  <c r="E286" i="28"/>
  <c r="H376" i="28"/>
  <c r="F375" i="28"/>
  <c r="D374" i="28"/>
  <c r="H372" i="28"/>
  <c r="F371" i="28"/>
  <c r="D370" i="28"/>
  <c r="H368" i="28"/>
  <c r="F367" i="28"/>
  <c r="D366" i="28"/>
  <c r="H364" i="28"/>
  <c r="F363" i="28"/>
  <c r="D362" i="28"/>
  <c r="H360" i="28"/>
  <c r="F359" i="28"/>
  <c r="D358" i="28"/>
  <c r="H356" i="28"/>
  <c r="F355" i="28"/>
  <c r="D354" i="28"/>
  <c r="H352" i="28"/>
  <c r="F351" i="28"/>
  <c r="D350" i="28"/>
  <c r="H348" i="28"/>
  <c r="F347" i="28"/>
  <c r="D346" i="28"/>
  <c r="H344" i="28"/>
  <c r="F343" i="28"/>
  <c r="D342" i="28"/>
  <c r="H340" i="28"/>
  <c r="F339" i="28"/>
  <c r="D338" i="28"/>
  <c r="H336" i="28"/>
  <c r="F335" i="28"/>
  <c r="D334" i="28"/>
  <c r="H332" i="28"/>
  <c r="F331" i="28"/>
  <c r="D330" i="28"/>
  <c r="H328" i="28"/>
  <c r="F327" i="28"/>
  <c r="D326" i="28"/>
  <c r="H324" i="28"/>
  <c r="F323" i="28"/>
  <c r="D322" i="28"/>
  <c r="H320" i="28"/>
  <c r="F319" i="28"/>
  <c r="D318" i="28"/>
  <c r="H316" i="28"/>
  <c r="F315" i="28"/>
  <c r="D314" i="28"/>
  <c r="H312" i="28"/>
  <c r="F311" i="28"/>
  <c r="D310" i="28"/>
  <c r="H308" i="28"/>
  <c r="F307" i="28"/>
  <c r="D306" i="28"/>
  <c r="H304" i="28"/>
  <c r="F303" i="28"/>
  <c r="D302" i="28"/>
  <c r="H300" i="28"/>
  <c r="F299" i="28"/>
  <c r="D298" i="28"/>
  <c r="H296" i="28"/>
  <c r="F295" i="28"/>
  <c r="D294" i="28"/>
  <c r="H292" i="28"/>
  <c r="F291" i="28"/>
  <c r="D290" i="28"/>
  <c r="H288" i="28"/>
  <c r="F287" i="28"/>
  <c r="D286" i="28"/>
  <c r="H284" i="28"/>
  <c r="F283" i="28"/>
  <c r="D282" i="28"/>
  <c r="H280" i="28"/>
  <c r="F279" i="28"/>
  <c r="D278" i="28"/>
  <c r="H276" i="28"/>
  <c r="F275" i="28"/>
  <c r="D274" i="28"/>
  <c r="H272" i="28"/>
  <c r="F271" i="28"/>
  <c r="D270" i="28"/>
  <c r="H268" i="28"/>
  <c r="F267" i="28"/>
  <c r="D266" i="28"/>
  <c r="H264" i="28"/>
  <c r="G376" i="28"/>
  <c r="B366" i="28"/>
  <c r="E355" i="28"/>
  <c r="G344" i="28"/>
  <c r="B334" i="28"/>
  <c r="E323" i="28"/>
  <c r="G312" i="28"/>
  <c r="B302" i="28"/>
  <c r="E291" i="28"/>
  <c r="B286" i="28"/>
  <c r="E282" i="28"/>
  <c r="F278" i="28"/>
  <c r="G275" i="28"/>
  <c r="B273" i="28"/>
  <c r="F270" i="28"/>
  <c r="E268" i="28"/>
  <c r="E266" i="28"/>
  <c r="E264" i="28"/>
  <c r="B263" i="28"/>
  <c r="G261" i="28"/>
  <c r="E260" i="28"/>
  <c r="B259" i="28"/>
  <c r="G257" i="28"/>
  <c r="E256" i="28"/>
  <c r="B255" i="28"/>
  <c r="G253" i="28"/>
  <c r="E252" i="28"/>
  <c r="B251" i="28"/>
  <c r="G249" i="28"/>
  <c r="E248" i="28"/>
  <c r="B247" i="28"/>
  <c r="G245" i="28"/>
  <c r="E244" i="28"/>
  <c r="B243" i="28"/>
  <c r="G241" i="28"/>
  <c r="E240" i="28"/>
  <c r="B239" i="28"/>
  <c r="G237" i="28"/>
  <c r="E236" i="28"/>
  <c r="B235" i="28"/>
  <c r="G233" i="28"/>
  <c r="E232" i="28"/>
  <c r="B231" i="28"/>
  <c r="G229" i="28"/>
  <c r="E228" i="28"/>
  <c r="B227" i="28"/>
  <c r="G225" i="28"/>
  <c r="E224" i="28"/>
  <c r="B223" i="28"/>
  <c r="G221" i="28"/>
  <c r="E220" i="28"/>
  <c r="B219" i="28"/>
  <c r="G217" i="28"/>
  <c r="E216" i="28"/>
  <c r="B215" i="28"/>
  <c r="G213" i="28"/>
  <c r="E375" i="28"/>
  <c r="G364" i="28"/>
  <c r="B354" i="28"/>
  <c r="E343" i="28"/>
  <c r="G332" i="28"/>
  <c r="B322" i="28"/>
  <c r="E311" i="28"/>
  <c r="G300" i="28"/>
  <c r="F290" i="28"/>
  <c r="D285" i="28"/>
  <c r="B282" i="28"/>
  <c r="E278" i="28"/>
  <c r="E275" i="28"/>
  <c r="G272" i="28"/>
  <c r="E270" i="28"/>
  <c r="B268" i="28"/>
  <c r="B266" i="28"/>
  <c r="D264" i="28"/>
  <c r="H262" i="28"/>
  <c r="F261" i="28"/>
  <c r="D260" i="28"/>
  <c r="H258" i="28"/>
  <c r="F257" i="28"/>
  <c r="D256" i="28"/>
  <c r="H254" i="28"/>
  <c r="F253" i="28"/>
  <c r="D252" i="28"/>
  <c r="H250" i="28"/>
  <c r="F249" i="28"/>
  <c r="D248" i="28"/>
  <c r="H246" i="28"/>
  <c r="F245" i="28"/>
  <c r="D244" i="28"/>
  <c r="H242" i="28"/>
  <c r="F241" i="28"/>
  <c r="D240" i="28"/>
  <c r="H238" i="28"/>
  <c r="F237" i="28"/>
  <c r="D236" i="28"/>
  <c r="H234" i="28"/>
  <c r="F233" i="28"/>
  <c r="D232" i="28"/>
  <c r="H230" i="28"/>
  <c r="F229" i="28"/>
  <c r="D228" i="28"/>
  <c r="H226" i="28"/>
  <c r="F225" i="28"/>
  <c r="D224" i="28"/>
  <c r="H222" i="28"/>
  <c r="F221" i="28"/>
  <c r="D220" i="28"/>
  <c r="H218" i="28"/>
  <c r="F217" i="28"/>
  <c r="D216" i="28"/>
  <c r="B374" i="28"/>
  <c r="E363" i="28"/>
  <c r="G352" i="28"/>
  <c r="B342" i="28"/>
  <c r="E331" i="28"/>
  <c r="G320" i="28"/>
  <c r="B310" i="28"/>
  <c r="E299" i="28"/>
  <c r="B290" i="28"/>
  <c r="B285" i="28"/>
  <c r="D281" i="28"/>
  <c r="B278" i="28"/>
  <c r="G274" i="28"/>
  <c r="B272" i="28"/>
  <c r="B270" i="28"/>
  <c r="H267" i="28"/>
  <c r="G265" i="28"/>
  <c r="B264" i="28"/>
  <c r="G262" i="28"/>
  <c r="E261" i="28"/>
  <c r="B260" i="28"/>
  <c r="G258" i="28"/>
  <c r="E257" i="28"/>
  <c r="B256" i="28"/>
  <c r="G254" i="28"/>
  <c r="E253" i="28"/>
  <c r="B252" i="28"/>
  <c r="G250" i="28"/>
  <c r="E249" i="28"/>
  <c r="B248" i="28"/>
  <c r="G246" i="28"/>
  <c r="E245" i="28"/>
  <c r="B244" i="28"/>
  <c r="G242" i="28"/>
  <c r="E241" i="28"/>
  <c r="B240" i="28"/>
  <c r="G238" i="28"/>
  <c r="E237" i="28"/>
  <c r="B236" i="28"/>
  <c r="G234" i="28"/>
  <c r="E233" i="28"/>
  <c r="B232" i="28"/>
  <c r="G230" i="28"/>
  <c r="E229" i="28"/>
  <c r="B228" i="28"/>
  <c r="G226" i="28"/>
  <c r="E225" i="28"/>
  <c r="B224" i="28"/>
  <c r="G222" i="28"/>
  <c r="E221" i="28"/>
  <c r="B220" i="28"/>
  <c r="G372" i="28"/>
  <c r="B362" i="28"/>
  <c r="E351" i="28"/>
  <c r="G340" i="28"/>
  <c r="B330" i="28"/>
  <c r="E319" i="28"/>
  <c r="G308" i="28"/>
  <c r="B298" i="28"/>
  <c r="D289" i="28"/>
  <c r="G284" i="28"/>
  <c r="B281" i="28"/>
  <c r="D277" i="28"/>
  <c r="F274" i="28"/>
  <c r="H271" i="28"/>
  <c r="G269" i="28"/>
  <c r="G267" i="28"/>
  <c r="E265" i="28"/>
  <c r="H263" i="28"/>
  <c r="F262" i="28"/>
  <c r="D261" i="28"/>
  <c r="H259" i="28"/>
  <c r="F258" i="28"/>
  <c r="D257" i="28"/>
  <c r="H255" i="28"/>
  <c r="F254" i="28"/>
  <c r="D253" i="28"/>
  <c r="H251" i="28"/>
  <c r="F250" i="28"/>
  <c r="D249" i="28"/>
  <c r="H247" i="28"/>
  <c r="F246" i="28"/>
  <c r="D245" i="28"/>
  <c r="H243" i="28"/>
  <c r="F242" i="28"/>
  <c r="D241" i="28"/>
  <c r="H239" i="28"/>
  <c r="F238" i="28"/>
  <c r="D237" i="28"/>
  <c r="H235" i="28"/>
  <c r="F234" i="28"/>
  <c r="D233" i="28"/>
  <c r="H231" i="28"/>
  <c r="F230" i="28"/>
  <c r="D229" i="28"/>
  <c r="H227" i="28"/>
  <c r="F226" i="28"/>
  <c r="D225" i="28"/>
  <c r="H223" i="28"/>
  <c r="F222" i="28"/>
  <c r="D221" i="28"/>
  <c r="H219" i="28"/>
  <c r="F218" i="28"/>
  <c r="D217" i="28"/>
  <c r="H215" i="28"/>
  <c r="F214" i="28"/>
  <c r="D213" i="28"/>
  <c r="H211" i="28"/>
  <c r="F210" i="28"/>
  <c r="D209" i="28"/>
  <c r="H207" i="28"/>
  <c r="F206" i="28"/>
  <c r="D205" i="28"/>
  <c r="H203" i="28"/>
  <c r="F202" i="28"/>
  <c r="D201" i="28"/>
  <c r="H199" i="28"/>
  <c r="F198" i="28"/>
  <c r="D197" i="28"/>
  <c r="H195" i="28"/>
  <c r="F194" i="28"/>
  <c r="D193" i="28"/>
  <c r="H191" i="28"/>
  <c r="F190" i="28"/>
  <c r="D189" i="28"/>
  <c r="H187" i="28"/>
  <c r="F186" i="28"/>
  <c r="D185" i="28"/>
  <c r="H183" i="28"/>
  <c r="F182" i="28"/>
  <c r="D181" i="28"/>
  <c r="H179" i="28"/>
  <c r="F178" i="28"/>
  <c r="D177" i="28"/>
  <c r="H175" i="28"/>
  <c r="F174" i="28"/>
  <c r="E371" i="28"/>
  <c r="G360" i="28"/>
  <c r="B350" i="28"/>
  <c r="E339" i="28"/>
  <c r="G328" i="28"/>
  <c r="B318" i="28"/>
  <c r="E307" i="28"/>
  <c r="G296" i="28"/>
  <c r="G288" i="28"/>
  <c r="H283" i="28"/>
  <c r="G280" i="28"/>
  <c r="B277" i="28"/>
  <c r="E274" i="28"/>
  <c r="G271" i="28"/>
  <c r="E269" i="28"/>
  <c r="E267" i="28"/>
  <c r="D265" i="28"/>
  <c r="G263" i="28"/>
  <c r="E262" i="28"/>
  <c r="B261" i="28"/>
  <c r="G259" i="28"/>
  <c r="E258" i="28"/>
  <c r="B257" i="28"/>
  <c r="G255" i="28"/>
  <c r="E254" i="28"/>
  <c r="B253" i="28"/>
  <c r="G251" i="28"/>
  <c r="E250" i="28"/>
  <c r="B249" i="28"/>
  <c r="G247" i="28"/>
  <c r="E246" i="28"/>
  <c r="B245" i="28"/>
  <c r="G243" i="28"/>
  <c r="E242" i="28"/>
  <c r="B241" i="28"/>
  <c r="G239" i="28"/>
  <c r="E238" i="28"/>
  <c r="B237" i="28"/>
  <c r="G235" i="28"/>
  <c r="E234" i="28"/>
  <c r="B233" i="28"/>
  <c r="G231" i="28"/>
  <c r="E230" i="28"/>
  <c r="B370" i="28"/>
  <c r="E359" i="28"/>
  <c r="G348" i="28"/>
  <c r="B338" i="28"/>
  <c r="E327" i="28"/>
  <c r="G316" i="28"/>
  <c r="B306" i="28"/>
  <c r="E295" i="28"/>
  <c r="H287" i="28"/>
  <c r="G283" i="28"/>
  <c r="H279" i="28"/>
  <c r="G276" i="28"/>
  <c r="B274" i="28"/>
  <c r="E271" i="28"/>
  <c r="D269" i="28"/>
  <c r="B267" i="28"/>
  <c r="B265" i="28"/>
  <c r="F263" i="28"/>
  <c r="D262" i="28"/>
  <c r="H260" i="28"/>
  <c r="F259" i="28"/>
  <c r="D258" i="28"/>
  <c r="H256" i="28"/>
  <c r="F255" i="28"/>
  <c r="D254" i="28"/>
  <c r="H252" i="28"/>
  <c r="F251" i="28"/>
  <c r="D250" i="28"/>
  <c r="H248" i="28"/>
  <c r="F247" i="28"/>
  <c r="D246" i="28"/>
  <c r="H244" i="28"/>
  <c r="F243" i="28"/>
  <c r="D242" i="28"/>
  <c r="H240" i="28"/>
  <c r="F239" i="28"/>
  <c r="D238" i="28"/>
  <c r="H236" i="28"/>
  <c r="F235" i="28"/>
  <c r="D234" i="28"/>
  <c r="H232" i="28"/>
  <c r="F231" i="28"/>
  <c r="D230" i="28"/>
  <c r="H228" i="28"/>
  <c r="F227" i="28"/>
  <c r="D226" i="28"/>
  <c r="H224" i="28"/>
  <c r="F223" i="28"/>
  <c r="D222" i="28"/>
  <c r="H220" i="28"/>
  <c r="F219" i="28"/>
  <c r="D218" i="28"/>
  <c r="H216" i="28"/>
  <c r="F215" i="28"/>
  <c r="D214" i="28"/>
  <c r="H212" i="28"/>
  <c r="F211" i="28"/>
  <c r="D210" i="28"/>
  <c r="H208" i="28"/>
  <c r="F207" i="28"/>
  <c r="D206" i="28"/>
  <c r="H204" i="28"/>
  <c r="F203" i="28"/>
  <c r="D202" i="28"/>
  <c r="H200" i="28"/>
  <c r="F199" i="28"/>
  <c r="D198" i="28"/>
  <c r="H196" i="28"/>
  <c r="F195" i="28"/>
  <c r="D194" i="28"/>
  <c r="H192" i="28"/>
  <c r="F191" i="28"/>
  <c r="D190" i="28"/>
  <c r="H188" i="28"/>
  <c r="F187" i="28"/>
  <c r="D186" i="28"/>
  <c r="H184" i="28"/>
  <c r="F183" i="28"/>
  <c r="D182" i="28"/>
  <c r="H180" i="28"/>
  <c r="F179" i="28"/>
  <c r="D178" i="28"/>
  <c r="H176" i="28"/>
  <c r="F175" i="28"/>
  <c r="G368" i="28"/>
  <c r="B358" i="28"/>
  <c r="E347" i="28"/>
  <c r="G336" i="28"/>
  <c r="B326" i="28"/>
  <c r="E315" i="28"/>
  <c r="G304" i="28"/>
  <c r="B294" i="28"/>
  <c r="E287" i="28"/>
  <c r="E283" i="28"/>
  <c r="G279" i="28"/>
  <c r="B276" i="28"/>
  <c r="E273" i="28"/>
  <c r="B271" i="28"/>
  <c r="B269" i="28"/>
  <c r="G266" i="28"/>
  <c r="G264" i="28"/>
  <c r="E263" i="28"/>
  <c r="B262" i="28"/>
  <c r="G260" i="28"/>
  <c r="E259" i="28"/>
  <c r="B258" i="28"/>
  <c r="G256" i="28"/>
  <c r="E255" i="28"/>
  <c r="B254" i="28"/>
  <c r="G252" i="28"/>
  <c r="E251" i="28"/>
  <c r="B250" i="28"/>
  <c r="G248" i="28"/>
  <c r="E247" i="28"/>
  <c r="B246" i="28"/>
  <c r="G244" i="28"/>
  <c r="E243" i="28"/>
  <c r="B242" i="28"/>
  <c r="G240" i="28"/>
  <c r="E239" i="28"/>
  <c r="B238" i="28"/>
  <c r="G236" i="28"/>
  <c r="E235" i="28"/>
  <c r="B234" i="28"/>
  <c r="G232" i="28"/>
  <c r="E231" i="28"/>
  <c r="B230" i="28"/>
  <c r="G228" i="28"/>
  <c r="E227" i="28"/>
  <c r="B226" i="28"/>
  <c r="G224" i="28"/>
  <c r="E223" i="28"/>
  <c r="B222" i="28"/>
  <c r="G220" i="28"/>
  <c r="E219" i="28"/>
  <c r="B218" i="28"/>
  <c r="G216" i="28"/>
  <c r="E215" i="28"/>
  <c r="B214" i="28"/>
  <c r="G212" i="28"/>
  <c r="E211" i="28"/>
  <c r="B210" i="28"/>
  <c r="G208" i="28"/>
  <c r="E207" i="28"/>
  <c r="B206" i="28"/>
  <c r="G204" i="28"/>
  <c r="E203" i="28"/>
  <c r="B202" i="28"/>
  <c r="G200" i="28"/>
  <c r="E199" i="28"/>
  <c r="B198" i="28"/>
  <c r="G196" i="28"/>
  <c r="E195" i="28"/>
  <c r="B194" i="28"/>
  <c r="G192" i="28"/>
  <c r="E191" i="28"/>
  <c r="B190" i="28"/>
  <c r="G188" i="28"/>
  <c r="E187" i="28"/>
  <c r="B186" i="28"/>
  <c r="G184" i="28"/>
  <c r="E183" i="28"/>
  <c r="B182" i="28"/>
  <c r="G180" i="28"/>
  <c r="E179" i="28"/>
  <c r="B178" i="28"/>
  <c r="G176" i="28"/>
  <c r="E175" i="28"/>
  <c r="B174" i="28"/>
  <c r="G172" i="28"/>
  <c r="E171" i="28"/>
  <c r="B170" i="28"/>
  <c r="G168" i="28"/>
  <c r="E167" i="28"/>
  <c r="B166" i="28"/>
  <c r="E367" i="28"/>
  <c r="F286" i="28"/>
  <c r="F264" i="28"/>
  <c r="H253" i="28"/>
  <c r="D243" i="28"/>
  <c r="F232" i="28"/>
  <c r="H225" i="28"/>
  <c r="F220" i="28"/>
  <c r="F216" i="28"/>
  <c r="F213" i="28"/>
  <c r="D211" i="28"/>
  <c r="E209" i="28"/>
  <c r="B207" i="28"/>
  <c r="B205" i="28"/>
  <c r="H202" i="28"/>
  <c r="F200" i="28"/>
  <c r="G198" i="28"/>
  <c r="E196" i="28"/>
  <c r="E194" i="28"/>
  <c r="D192" i="28"/>
  <c r="H189" i="28"/>
  <c r="B188" i="28"/>
  <c r="G185" i="28"/>
  <c r="G183" i="28"/>
  <c r="F181" i="28"/>
  <c r="D179" i="28"/>
  <c r="E177" i="28"/>
  <c r="B175" i="28"/>
  <c r="E173" i="28"/>
  <c r="H171" i="28"/>
  <c r="E170" i="28"/>
  <c r="H168" i="28"/>
  <c r="D167" i="28"/>
  <c r="G165" i="28"/>
  <c r="E164" i="28"/>
  <c r="B163" i="28"/>
  <c r="G161" i="28"/>
  <c r="E160" i="28"/>
  <c r="B159" i="28"/>
  <c r="G157" i="28"/>
  <c r="E156" i="28"/>
  <c r="B155" i="28"/>
  <c r="G153" i="28"/>
  <c r="E152" i="28"/>
  <c r="B151" i="28"/>
  <c r="G149" i="28"/>
  <c r="E148" i="28"/>
  <c r="B147" i="28"/>
  <c r="G145" i="28"/>
  <c r="E144" i="28"/>
  <c r="B143" i="28"/>
  <c r="G141" i="28"/>
  <c r="E140" i="28"/>
  <c r="B139" i="28"/>
  <c r="G137" i="28"/>
  <c r="E136" i="28"/>
  <c r="B135" i="28"/>
  <c r="G133" i="28"/>
  <c r="E132" i="28"/>
  <c r="B131" i="28"/>
  <c r="G129" i="28"/>
  <c r="E128" i="28"/>
  <c r="B127" i="28"/>
  <c r="G125" i="28"/>
  <c r="E124" i="28"/>
  <c r="B123" i="28"/>
  <c r="G121" i="28"/>
  <c r="E120" i="28"/>
  <c r="B119" i="28"/>
  <c r="G117" i="28"/>
  <c r="E116" i="28"/>
  <c r="B115" i="28"/>
  <c r="G113" i="28"/>
  <c r="E112" i="28"/>
  <c r="B111" i="28"/>
  <c r="G109" i="28"/>
  <c r="E108" i="28"/>
  <c r="B107" i="28"/>
  <c r="G105" i="28"/>
  <c r="E104" i="28"/>
  <c r="B103" i="28"/>
  <c r="G101" i="28"/>
  <c r="E100" i="28"/>
  <c r="B99" i="28"/>
  <c r="G97" i="28"/>
  <c r="G356" i="28"/>
  <c r="F282" i="28"/>
  <c r="D263" i="28"/>
  <c r="F252" i="28"/>
  <c r="H241" i="28"/>
  <c r="D231" i="28"/>
  <c r="B225" i="28"/>
  <c r="G219" i="28"/>
  <c r="B216" i="28"/>
  <c r="E213" i="28"/>
  <c r="B211" i="28"/>
  <c r="B209" i="28"/>
  <c r="H206" i="28"/>
  <c r="F204" i="28"/>
  <c r="G202" i="28"/>
  <c r="E200" i="28"/>
  <c r="E198" i="28"/>
  <c r="D196" i="28"/>
  <c r="H193" i="28"/>
  <c r="B192" i="28"/>
  <c r="G189" i="28"/>
  <c r="G187" i="28"/>
  <c r="F185" i="28"/>
  <c r="D183" i="28"/>
  <c r="E181" i="28"/>
  <c r="B179" i="28"/>
  <c r="B177" i="28"/>
  <c r="H174" i="28"/>
  <c r="D173" i="28"/>
  <c r="G171" i="28"/>
  <c r="D170" i="28"/>
  <c r="F168" i="28"/>
  <c r="B167" i="28"/>
  <c r="F165" i="28"/>
  <c r="D164" i="28"/>
  <c r="H162" i="28"/>
  <c r="F161" i="28"/>
  <c r="D160" i="28"/>
  <c r="H158" i="28"/>
  <c r="F157" i="28"/>
  <c r="D156" i="28"/>
  <c r="H154" i="28"/>
  <c r="F153" i="28"/>
  <c r="D152" i="28"/>
  <c r="H150" i="28"/>
  <c r="F149" i="28"/>
  <c r="D148" i="28"/>
  <c r="H146" i="28"/>
  <c r="F145" i="28"/>
  <c r="D144" i="28"/>
  <c r="H142" i="28"/>
  <c r="F141" i="28"/>
  <c r="D140" i="28"/>
  <c r="H138" i="28"/>
  <c r="F137" i="28"/>
  <c r="D136" i="28"/>
  <c r="H134" i="28"/>
  <c r="F133" i="28"/>
  <c r="D132" i="28"/>
  <c r="H130" i="28"/>
  <c r="F129" i="28"/>
  <c r="D128" i="28"/>
  <c r="B346" i="28"/>
  <c r="E279" i="28"/>
  <c r="H261" i="28"/>
  <c r="D251" i="28"/>
  <c r="F240" i="28"/>
  <c r="H229" i="28"/>
  <c r="F224" i="28"/>
  <c r="D219" i="28"/>
  <c r="G215" i="28"/>
  <c r="B213" i="28"/>
  <c r="H210" i="28"/>
  <c r="F208" i="28"/>
  <c r="G206" i="28"/>
  <c r="E204" i="28"/>
  <c r="E202" i="28"/>
  <c r="D200" i="28"/>
  <c r="H197" i="28"/>
  <c r="B196" i="28"/>
  <c r="G193" i="28"/>
  <c r="G191" i="28"/>
  <c r="F189" i="28"/>
  <c r="D187" i="28"/>
  <c r="E185" i="28"/>
  <c r="B183" i="28"/>
  <c r="B181" i="28"/>
  <c r="H178" i="28"/>
  <c r="F176" i="28"/>
  <c r="G174" i="28"/>
  <c r="B173" i="28"/>
  <c r="F171" i="28"/>
  <c r="H169" i="28"/>
  <c r="E168" i="28"/>
  <c r="H166" i="28"/>
  <c r="E165" i="28"/>
  <c r="B164" i="28"/>
  <c r="G162" i="28"/>
  <c r="E161" i="28"/>
  <c r="B160" i="28"/>
  <c r="G158" i="28"/>
  <c r="E157" i="28"/>
  <c r="B156" i="28"/>
  <c r="G154" i="28"/>
  <c r="E153" i="28"/>
  <c r="B152" i="28"/>
  <c r="G150" i="28"/>
  <c r="E149" i="28"/>
  <c r="B148" i="28"/>
  <c r="G146" i="28"/>
  <c r="E145" i="28"/>
  <c r="B144" i="28"/>
  <c r="G142" i="28"/>
  <c r="E141" i="28"/>
  <c r="B140" i="28"/>
  <c r="G138" i="28"/>
  <c r="E137" i="28"/>
  <c r="B136" i="28"/>
  <c r="G134" i="28"/>
  <c r="E133" i="28"/>
  <c r="B132" i="28"/>
  <c r="G130" i="28"/>
  <c r="E129" i="28"/>
  <c r="B128" i="28"/>
  <c r="G126" i="28"/>
  <c r="E125" i="28"/>
  <c r="B124" i="28"/>
  <c r="G122" i="28"/>
  <c r="E121" i="28"/>
  <c r="B120" i="28"/>
  <c r="G118" i="28"/>
  <c r="E117" i="28"/>
  <c r="B116" i="28"/>
  <c r="G114" i="28"/>
  <c r="E113" i="28"/>
  <c r="B112" i="28"/>
  <c r="G110" i="28"/>
  <c r="E109" i="28"/>
  <c r="B108" i="28"/>
  <c r="G106" i="28"/>
  <c r="E105" i="28"/>
  <c r="B104" i="28"/>
  <c r="G102" i="28"/>
  <c r="E101" i="28"/>
  <c r="B100" i="28"/>
  <c r="G98" i="28"/>
  <c r="E97" i="28"/>
  <c r="B96" i="28"/>
  <c r="G94" i="28"/>
  <c r="E93" i="28"/>
  <c r="B92" i="28"/>
  <c r="G90" i="28"/>
  <c r="E89" i="28"/>
  <c r="B88" i="28"/>
  <c r="G86" i="28"/>
  <c r="E85" i="28"/>
  <c r="B84" i="28"/>
  <c r="G82" i="28"/>
  <c r="E81" i="28"/>
  <c r="B80" i="28"/>
  <c r="G78" i="28"/>
  <c r="E77" i="28"/>
  <c r="B76" i="28"/>
  <c r="G74" i="28"/>
  <c r="E73" i="28"/>
  <c r="B72" i="28"/>
  <c r="G70" i="28"/>
  <c r="E69" i="28"/>
  <c r="B68" i="28"/>
  <c r="G66" i="28"/>
  <c r="E65" i="28"/>
  <c r="B64" i="28"/>
  <c r="E335" i="28"/>
  <c r="H275" i="28"/>
  <c r="F260" i="28"/>
  <c r="H249" i="28"/>
  <c r="D239" i="28"/>
  <c r="B229" i="28"/>
  <c r="G223" i="28"/>
  <c r="G218" i="28"/>
  <c r="D215" i="28"/>
  <c r="F212" i="28"/>
  <c r="G210" i="28"/>
  <c r="E208" i="28"/>
  <c r="E206" i="28"/>
  <c r="D204" i="28"/>
  <c r="H201" i="28"/>
  <c r="B200" i="28"/>
  <c r="G197" i="28"/>
  <c r="G195" i="28"/>
  <c r="F193" i="28"/>
  <c r="D191" i="28"/>
  <c r="E189" i="28"/>
  <c r="B187" i="28"/>
  <c r="B185" i="28"/>
  <c r="H182" i="28"/>
  <c r="F180" i="28"/>
  <c r="G178" i="28"/>
  <c r="E176" i="28"/>
  <c r="E174" i="28"/>
  <c r="H172" i="28"/>
  <c r="D171" i="28"/>
  <c r="G169" i="28"/>
  <c r="D168" i="28"/>
  <c r="G166" i="28"/>
  <c r="D165" i="28"/>
  <c r="H163" i="28"/>
  <c r="F162" i="28"/>
  <c r="D161" i="28"/>
  <c r="H159" i="28"/>
  <c r="F158" i="28"/>
  <c r="D157" i="28"/>
  <c r="H155" i="28"/>
  <c r="F154" i="28"/>
  <c r="D153" i="28"/>
  <c r="H151" i="28"/>
  <c r="F150" i="28"/>
  <c r="D149" i="28"/>
  <c r="H147" i="28"/>
  <c r="F146" i="28"/>
  <c r="D145" i="28"/>
  <c r="H143" i="28"/>
  <c r="F142" i="28"/>
  <c r="D141" i="28"/>
  <c r="H139" i="28"/>
  <c r="F138" i="28"/>
  <c r="D137" i="28"/>
  <c r="H135" i="28"/>
  <c r="F134" i="28"/>
  <c r="D133" i="28"/>
  <c r="H131" i="28"/>
  <c r="F130" i="28"/>
  <c r="D129" i="28"/>
  <c r="H127" i="28"/>
  <c r="F126" i="28"/>
  <c r="D125" i="28"/>
  <c r="H123" i="28"/>
  <c r="F122" i="28"/>
  <c r="D121" i="28"/>
  <c r="H119" i="28"/>
  <c r="F118" i="28"/>
  <c r="D117" i="28"/>
  <c r="H115" i="28"/>
  <c r="F114" i="28"/>
  <c r="D113" i="28"/>
  <c r="H111" i="28"/>
  <c r="F110" i="28"/>
  <c r="D109" i="28"/>
  <c r="H107" i="28"/>
  <c r="F106" i="28"/>
  <c r="D105" i="28"/>
  <c r="H103" i="28"/>
  <c r="F102" i="28"/>
  <c r="D101" i="28"/>
  <c r="H99" i="28"/>
  <c r="F98" i="28"/>
  <c r="D97" i="28"/>
  <c r="H95" i="28"/>
  <c r="F94" i="28"/>
  <c r="D93" i="28"/>
  <c r="H91" i="28"/>
  <c r="F90" i="28"/>
  <c r="D89" i="28"/>
  <c r="H87" i="28"/>
  <c r="F86" i="28"/>
  <c r="D85" i="28"/>
  <c r="H83" i="28"/>
  <c r="F82" i="28"/>
  <c r="D81" i="28"/>
  <c r="H79" i="28"/>
  <c r="F78" i="28"/>
  <c r="D77" i="28"/>
  <c r="H75" i="28"/>
  <c r="F74" i="28"/>
  <c r="D73" i="28"/>
  <c r="G324" i="28"/>
  <c r="D273" i="28"/>
  <c r="D259" i="28"/>
  <c r="F248" i="28"/>
  <c r="H237" i="28"/>
  <c r="F228" i="28"/>
  <c r="D223" i="28"/>
  <c r="E218" i="28"/>
  <c r="H214" i="28"/>
  <c r="E212" i="28"/>
  <c r="E210" i="28"/>
  <c r="D208" i="28"/>
  <c r="H205" i="28"/>
  <c r="B204" i="28"/>
  <c r="G201" i="28"/>
  <c r="G199" i="28"/>
  <c r="F197" i="28"/>
  <c r="D195" i="28"/>
  <c r="E193" i="28"/>
  <c r="B191" i="28"/>
  <c r="B189" i="28"/>
  <c r="H186" i="28"/>
  <c r="F184" i="28"/>
  <c r="G182" i="28"/>
  <c r="E180" i="28"/>
  <c r="E178" i="28"/>
  <c r="D176" i="28"/>
  <c r="D174" i="28"/>
  <c r="F172" i="28"/>
  <c r="B171" i="28"/>
  <c r="F169" i="28"/>
  <c r="B168" i="28"/>
  <c r="F166" i="28"/>
  <c r="B165" i="28"/>
  <c r="G163" i="28"/>
  <c r="E162" i="28"/>
  <c r="B161" i="28"/>
  <c r="G159" i="28"/>
  <c r="E158" i="28"/>
  <c r="B157" i="28"/>
  <c r="G155" i="28"/>
  <c r="E154" i="28"/>
  <c r="B153" i="28"/>
  <c r="G151" i="28"/>
  <c r="E150" i="28"/>
  <c r="B149" i="28"/>
  <c r="G147" i="28"/>
  <c r="E146" i="28"/>
  <c r="B145" i="28"/>
  <c r="G143" i="28"/>
  <c r="E142" i="28"/>
  <c r="B141" i="28"/>
  <c r="G139" i="28"/>
  <c r="E138" i="28"/>
  <c r="B137" i="28"/>
  <c r="G135" i="28"/>
  <c r="E134" i="28"/>
  <c r="B133" i="28"/>
  <c r="G131" i="28"/>
  <c r="E130" i="28"/>
  <c r="B129" i="28"/>
  <c r="G127" i="28"/>
  <c r="E126" i="28"/>
  <c r="B125" i="28"/>
  <c r="G123" i="28"/>
  <c r="E122" i="28"/>
  <c r="B314" i="28"/>
  <c r="G270" i="28"/>
  <c r="H257" i="28"/>
  <c r="D247" i="28"/>
  <c r="F236" i="28"/>
  <c r="G227" i="28"/>
  <c r="E222" i="28"/>
  <c r="H217" i="28"/>
  <c r="G214" i="28"/>
  <c r="D212" i="28"/>
  <c r="H209" i="28"/>
  <c r="B208" i="28"/>
  <c r="G205" i="28"/>
  <c r="G203" i="28"/>
  <c r="F201" i="28"/>
  <c r="D199" i="28"/>
  <c r="E197" i="28"/>
  <c r="B195" i="28"/>
  <c r="B193" i="28"/>
  <c r="H190" i="28"/>
  <c r="F188" i="28"/>
  <c r="G186" i="28"/>
  <c r="E184" i="28"/>
  <c r="E182" i="28"/>
  <c r="D180" i="28"/>
  <c r="H177" i="28"/>
  <c r="B176" i="28"/>
  <c r="H173" i="28"/>
  <c r="E172" i="28"/>
  <c r="H170" i="28"/>
  <c r="E169" i="28"/>
  <c r="H167" i="28"/>
  <c r="E166" i="28"/>
  <c r="H164" i="28"/>
  <c r="F163" i="28"/>
  <c r="D162" i="28"/>
  <c r="H160" i="28"/>
  <c r="F159" i="28"/>
  <c r="D158" i="28"/>
  <c r="H156" i="28"/>
  <c r="F155" i="28"/>
  <c r="D154" i="28"/>
  <c r="H152" i="28"/>
  <c r="F151" i="28"/>
  <c r="D150" i="28"/>
  <c r="H148" i="28"/>
  <c r="F147" i="28"/>
  <c r="D146" i="28"/>
  <c r="H144" i="28"/>
  <c r="F143" i="28"/>
  <c r="D142" i="28"/>
  <c r="H140" i="28"/>
  <c r="F139" i="28"/>
  <c r="D138" i="28"/>
  <c r="H136" i="28"/>
  <c r="F135" i="28"/>
  <c r="E303" i="28"/>
  <c r="G268" i="28"/>
  <c r="F256" i="28"/>
  <c r="H245" i="28"/>
  <c r="D235" i="28"/>
  <c r="D227" i="28"/>
  <c r="H221" i="28"/>
  <c r="E217" i="28"/>
  <c r="E214" i="28"/>
  <c r="B212" i="28"/>
  <c r="G209" i="28"/>
  <c r="G207" i="28"/>
  <c r="F205" i="28"/>
  <c r="D203" i="28"/>
  <c r="E201" i="28"/>
  <c r="B199" i="28"/>
  <c r="B197" i="28"/>
  <c r="H194" i="28"/>
  <c r="F192" i="28"/>
  <c r="G190" i="28"/>
  <c r="E188" i="28"/>
  <c r="E186" i="28"/>
  <c r="D184" i="28"/>
  <c r="H181" i="28"/>
  <c r="B180" i="28"/>
  <c r="G177" i="28"/>
  <c r="G175" i="28"/>
  <c r="G173" i="28"/>
  <c r="D172" i="28"/>
  <c r="G170" i="28"/>
  <c r="D169" i="28"/>
  <c r="G167" i="28"/>
  <c r="D166" i="28"/>
  <c r="G164" i="28"/>
  <c r="E163" i="28"/>
  <c r="B162" i="28"/>
  <c r="G160" i="28"/>
  <c r="E159" i="28"/>
  <c r="B158" i="28"/>
  <c r="G156" i="28"/>
  <c r="E155" i="28"/>
  <c r="B154" i="28"/>
  <c r="G152" i="28"/>
  <c r="E151" i="28"/>
  <c r="B150" i="28"/>
  <c r="G148" i="28"/>
  <c r="E147" i="28"/>
  <c r="B146" i="28"/>
  <c r="G144" i="28"/>
  <c r="E143" i="28"/>
  <c r="B142" i="28"/>
  <c r="G140" i="28"/>
  <c r="E139" i="28"/>
  <c r="B138" i="28"/>
  <c r="G136" i="28"/>
  <c r="E135" i="28"/>
  <c r="B134" i="28"/>
  <c r="G132" i="28"/>
  <c r="E131" i="28"/>
  <c r="B130" i="28"/>
  <c r="G128" i="28"/>
  <c r="E127" i="28"/>
  <c r="B126" i="28"/>
  <c r="G124" i="28"/>
  <c r="E123" i="28"/>
  <c r="B122" i="28"/>
  <c r="G120" i="28"/>
  <c r="E119" i="28"/>
  <c r="B118" i="28"/>
  <c r="G116" i="28"/>
  <c r="E115" i="28"/>
  <c r="B114" i="28"/>
  <c r="G112" i="28"/>
  <c r="E111" i="28"/>
  <c r="B110" i="28"/>
  <c r="G108" i="28"/>
  <c r="E107" i="28"/>
  <c r="B106" i="28"/>
  <c r="G104" i="28"/>
  <c r="E103" i="28"/>
  <c r="B102" i="28"/>
  <c r="G100" i="28"/>
  <c r="E99" i="28"/>
  <c r="B98" i="28"/>
  <c r="G96" i="28"/>
  <c r="E95" i="28"/>
  <c r="B94" i="28"/>
  <c r="G92" i="28"/>
  <c r="E91" i="28"/>
  <c r="B90" i="28"/>
  <c r="G88" i="28"/>
  <c r="E87" i="28"/>
  <c r="B86" i="28"/>
  <c r="G84" i="28"/>
  <c r="E83" i="28"/>
  <c r="B82" i="28"/>
  <c r="G80" i="28"/>
  <c r="E79" i="28"/>
  <c r="B78" i="28"/>
  <c r="G76" i="28"/>
  <c r="E75" i="28"/>
  <c r="B74" i="28"/>
  <c r="G72" i="28"/>
  <c r="E71" i="28"/>
  <c r="B70" i="28"/>
  <c r="G68" i="28"/>
  <c r="E67" i="28"/>
  <c r="B66" i="28"/>
  <c r="G64" i="28"/>
  <c r="E63" i="28"/>
  <c r="G292" i="28"/>
  <c r="H213" i="28"/>
  <c r="F196" i="28"/>
  <c r="G179" i="28"/>
  <c r="H165" i="28"/>
  <c r="D155" i="28"/>
  <c r="F144" i="28"/>
  <c r="D134" i="28"/>
  <c r="H128" i="28"/>
  <c r="H124" i="28"/>
  <c r="F121" i="28"/>
  <c r="H118" i="28"/>
  <c r="D116" i="28"/>
  <c r="F113" i="28"/>
  <c r="H110" i="28"/>
  <c r="D108" i="28"/>
  <c r="F105" i="28"/>
  <c r="H102" i="28"/>
  <c r="D100" i="28"/>
  <c r="F97" i="28"/>
  <c r="D95" i="28"/>
  <c r="B93" i="28"/>
  <c r="B91" i="28"/>
  <c r="H88" i="28"/>
  <c r="H86" i="28"/>
  <c r="F84" i="28"/>
  <c r="E82" i="28"/>
  <c r="E80" i="28"/>
  <c r="D78" i="28"/>
  <c r="D76" i="28"/>
  <c r="H73" i="28"/>
  <c r="H71" i="28"/>
  <c r="D70" i="28"/>
  <c r="E68" i="28"/>
  <c r="F66" i="28"/>
  <c r="H64" i="28"/>
  <c r="B63" i="28"/>
  <c r="G61" i="28"/>
  <c r="E60" i="28"/>
  <c r="B59" i="28"/>
  <c r="G57" i="28"/>
  <c r="E56" i="28"/>
  <c r="B55" i="28"/>
  <c r="G53" i="28"/>
  <c r="E52" i="28"/>
  <c r="B51" i="28"/>
  <c r="G49" i="28"/>
  <c r="E48" i="28"/>
  <c r="B47" i="28"/>
  <c r="G45" i="28"/>
  <c r="E44" i="28"/>
  <c r="B43" i="28"/>
  <c r="G41" i="28"/>
  <c r="E40" i="28"/>
  <c r="B39" i="28"/>
  <c r="G37" i="28"/>
  <c r="E36" i="28"/>
  <c r="B35" i="28"/>
  <c r="G33" i="28"/>
  <c r="E32" i="28"/>
  <c r="B31" i="28"/>
  <c r="G29" i="28"/>
  <c r="E28" i="28"/>
  <c r="B27" i="28"/>
  <c r="G25" i="28"/>
  <c r="E24" i="28"/>
  <c r="B23" i="28"/>
  <c r="G21" i="28"/>
  <c r="E20" i="28"/>
  <c r="B19" i="28"/>
  <c r="F266" i="28"/>
  <c r="G211" i="28"/>
  <c r="G194" i="28"/>
  <c r="F177" i="28"/>
  <c r="F164" i="28"/>
  <c r="H153" i="28"/>
  <c r="D143" i="28"/>
  <c r="H133" i="28"/>
  <c r="F128" i="28"/>
  <c r="F124" i="28"/>
  <c r="B121" i="28"/>
  <c r="E118" i="28"/>
  <c r="G115" i="28"/>
  <c r="B113" i="28"/>
  <c r="E110" i="28"/>
  <c r="G107" i="28"/>
  <c r="B105" i="28"/>
  <c r="E102" i="28"/>
  <c r="G99" i="28"/>
  <c r="B97" i="28"/>
  <c r="B95" i="28"/>
  <c r="H92" i="28"/>
  <c r="H90" i="28"/>
  <c r="F88" i="28"/>
  <c r="E86" i="28"/>
  <c r="E84" i="28"/>
  <c r="D82" i="28"/>
  <c r="D80" i="28"/>
  <c r="H77" i="28"/>
  <c r="G75" i="28"/>
  <c r="G73" i="28"/>
  <c r="G71" i="28"/>
  <c r="H69" i="28"/>
  <c r="D68" i="28"/>
  <c r="E66" i="28"/>
  <c r="Q83" i="21" s="1"/>
  <c r="F64" i="28"/>
  <c r="H62" i="28"/>
  <c r="F61" i="28"/>
  <c r="D60" i="28"/>
  <c r="H58" i="28"/>
  <c r="F57" i="28"/>
  <c r="D56" i="28"/>
  <c r="H54" i="28"/>
  <c r="F53" i="28"/>
  <c r="D52" i="28"/>
  <c r="H50" i="28"/>
  <c r="F49" i="28"/>
  <c r="D48" i="28"/>
  <c r="H46" i="28"/>
  <c r="F45" i="28"/>
  <c r="D44" i="28"/>
  <c r="H42" i="28"/>
  <c r="F41" i="28"/>
  <c r="D40" i="28"/>
  <c r="H38" i="28"/>
  <c r="F37" i="28"/>
  <c r="D36" i="28"/>
  <c r="H34" i="28"/>
  <c r="F33" i="28"/>
  <c r="D32" i="28"/>
  <c r="H30" i="28"/>
  <c r="F29" i="28"/>
  <c r="D28" i="28"/>
  <c r="H26" i="28"/>
  <c r="F25" i="28"/>
  <c r="D24" i="28"/>
  <c r="H22" i="28"/>
  <c r="F21" i="28"/>
  <c r="D20" i="28"/>
  <c r="D255" i="28"/>
  <c r="F209" i="28"/>
  <c r="E192" i="28"/>
  <c r="D175" i="28"/>
  <c r="D163" i="28"/>
  <c r="F152" i="28"/>
  <c r="H141" i="28"/>
  <c r="H132" i="28"/>
  <c r="F127" i="28"/>
  <c r="D124" i="28"/>
  <c r="H120" i="28"/>
  <c r="D118" i="28"/>
  <c r="F115" i="28"/>
  <c r="H112" i="28"/>
  <c r="D110" i="28"/>
  <c r="F107" i="28"/>
  <c r="H104" i="28"/>
  <c r="D102" i="28"/>
  <c r="F99" i="28"/>
  <c r="H96" i="28"/>
  <c r="H94" i="28"/>
  <c r="F92" i="28"/>
  <c r="E90" i="28"/>
  <c r="E88" i="28"/>
  <c r="D86" i="28"/>
  <c r="D84" i="28"/>
  <c r="H81" i="28"/>
  <c r="G79" i="28"/>
  <c r="G77" i="28"/>
  <c r="F75" i="28"/>
  <c r="F73" i="28"/>
  <c r="F71" i="28"/>
  <c r="G69" i="28"/>
  <c r="H67" i="28"/>
  <c r="D66" i="28"/>
  <c r="E64" i="28"/>
  <c r="G62" i="28"/>
  <c r="E61" i="28"/>
  <c r="B60" i="28"/>
  <c r="G58" i="28"/>
  <c r="E57" i="28"/>
  <c r="B56" i="28"/>
  <c r="G54" i="28"/>
  <c r="E53" i="28"/>
  <c r="B52" i="28"/>
  <c r="G50" i="28"/>
  <c r="E49" i="28"/>
  <c r="B48" i="28"/>
  <c r="G46" i="28"/>
  <c r="E45" i="28"/>
  <c r="B44" i="28"/>
  <c r="G42" i="28"/>
  <c r="E41" i="28"/>
  <c r="B40" i="28"/>
  <c r="G38" i="28"/>
  <c r="E37" i="28"/>
  <c r="B36" i="28"/>
  <c r="G34" i="28"/>
  <c r="E33" i="28"/>
  <c r="B32" i="28"/>
  <c r="G30" i="28"/>
  <c r="E29" i="28"/>
  <c r="B28" i="28"/>
  <c r="G26" i="28"/>
  <c r="E25" i="28"/>
  <c r="B24" i="28"/>
  <c r="G22" i="28"/>
  <c r="E21" i="28"/>
  <c r="F244" i="28"/>
  <c r="D207" i="28"/>
  <c r="E190" i="28"/>
  <c r="F173" i="28"/>
  <c r="H161" i="28"/>
  <c r="D151" i="28"/>
  <c r="F140" i="28"/>
  <c r="F132" i="28"/>
  <c r="D127" i="28"/>
  <c r="F123" i="28"/>
  <c r="F120" i="28"/>
  <c r="H117" i="28"/>
  <c r="D115" i="28"/>
  <c r="F112" i="28"/>
  <c r="H109" i="28"/>
  <c r="D107" i="28"/>
  <c r="F104" i="28"/>
  <c r="H101" i="28"/>
  <c r="D99" i="28"/>
  <c r="F96" i="28"/>
  <c r="E94" i="28"/>
  <c r="E92" i="28"/>
  <c r="D90" i="28"/>
  <c r="D88" i="28"/>
  <c r="H85" i="28"/>
  <c r="G83" i="28"/>
  <c r="G81" i="28"/>
  <c r="F79" i="28"/>
  <c r="F77" i="28"/>
  <c r="D75" i="28"/>
  <c r="B73" i="28"/>
  <c r="D71" i="28"/>
  <c r="F69" i="28"/>
  <c r="G67" i="28"/>
  <c r="H65" i="28"/>
  <c r="D64" i="28"/>
  <c r="F62" i="28"/>
  <c r="D61" i="28"/>
  <c r="H59" i="28"/>
  <c r="F58" i="28"/>
  <c r="D57" i="28"/>
  <c r="H55" i="28"/>
  <c r="F54" i="28"/>
  <c r="D53" i="28"/>
  <c r="H51" i="28"/>
  <c r="F50" i="28"/>
  <c r="D49" i="28"/>
  <c r="H47" i="28"/>
  <c r="F46" i="28"/>
  <c r="D45" i="28"/>
  <c r="H43" i="28"/>
  <c r="F42" i="28"/>
  <c r="D41" i="28"/>
  <c r="H39" i="28"/>
  <c r="F38" i="28"/>
  <c r="D37" i="28"/>
  <c r="H35" i="28"/>
  <c r="F34" i="28"/>
  <c r="D33" i="28"/>
  <c r="H31" i="28"/>
  <c r="F30" i="28"/>
  <c r="D29" i="28"/>
  <c r="H27" i="28"/>
  <c r="F26" i="28"/>
  <c r="D25" i="28"/>
  <c r="H23" i="28"/>
  <c r="F22" i="28"/>
  <c r="D21" i="28"/>
  <c r="H19" i="28"/>
  <c r="F18" i="28"/>
  <c r="H233" i="28"/>
  <c r="E205" i="28"/>
  <c r="D188" i="28"/>
  <c r="B172" i="28"/>
  <c r="F160" i="28"/>
  <c r="H149" i="28"/>
  <c r="D139" i="28"/>
  <c r="F131" i="28"/>
  <c r="H126" i="28"/>
  <c r="D123" i="28"/>
  <c r="D120" i="28"/>
  <c r="F117" i="28"/>
  <c r="H114" i="28"/>
  <c r="D112" i="28"/>
  <c r="F109" i="28"/>
  <c r="H106" i="28"/>
  <c r="D104" i="28"/>
  <c r="F101" i="28"/>
  <c r="H98" i="28"/>
  <c r="E96" i="28"/>
  <c r="D94" i="28"/>
  <c r="D92" i="28"/>
  <c r="H89" i="28"/>
  <c r="G87" i="28"/>
  <c r="G85" i="28"/>
  <c r="F83" i="28"/>
  <c r="F81" i="28"/>
  <c r="D79" i="28"/>
  <c r="B77" i="28"/>
  <c r="B75" i="28"/>
  <c r="H72" i="28"/>
  <c r="B71" i="28"/>
  <c r="D69" i="28"/>
  <c r="F67" i="28"/>
  <c r="G65" i="28"/>
  <c r="H63" i="28"/>
  <c r="E62" i="28"/>
  <c r="B61" i="28"/>
  <c r="G59" i="28"/>
  <c r="E58" i="28"/>
  <c r="B57" i="28"/>
  <c r="G55" i="28"/>
  <c r="E54" i="28"/>
  <c r="B53" i="28"/>
  <c r="G51" i="28"/>
  <c r="E50" i="28"/>
  <c r="B49" i="28"/>
  <c r="G47" i="28"/>
  <c r="E46" i="28"/>
  <c r="B45" i="28"/>
  <c r="G43" i="28"/>
  <c r="E42" i="28"/>
  <c r="B41" i="28"/>
  <c r="G39" i="28"/>
  <c r="E38" i="28"/>
  <c r="B37" i="28"/>
  <c r="G35" i="28"/>
  <c r="E34" i="28"/>
  <c r="B33" i="28"/>
  <c r="G31" i="28"/>
  <c r="E30" i="28"/>
  <c r="E226" i="28"/>
  <c r="B203" i="28"/>
  <c r="H185" i="28"/>
  <c r="F170" i="28"/>
  <c r="D159" i="28"/>
  <c r="F148" i="28"/>
  <c r="H137" i="28"/>
  <c r="D131" i="28"/>
  <c r="D126" i="28"/>
  <c r="H122" i="28"/>
  <c r="G119" i="28"/>
  <c r="B117" i="28"/>
  <c r="E114" i="28"/>
  <c r="G111" i="28"/>
  <c r="B109" i="28"/>
  <c r="E106" i="28"/>
  <c r="G103" i="28"/>
  <c r="B101" i="28"/>
  <c r="E98" i="28"/>
  <c r="D96" i="28"/>
  <c r="H93" i="28"/>
  <c r="G91" i="28"/>
  <c r="G89" i="28"/>
  <c r="F87" i="28"/>
  <c r="F85" i="28"/>
  <c r="D83" i="28"/>
  <c r="B81" i="28"/>
  <c r="B79" i="28"/>
  <c r="H76" i="28"/>
  <c r="H74" i="28"/>
  <c r="F72" i="28"/>
  <c r="H70" i="28"/>
  <c r="B69" i="28"/>
  <c r="D67" i="28"/>
  <c r="F65" i="28"/>
  <c r="G63" i="28"/>
  <c r="D62" i="28"/>
  <c r="H60" i="28"/>
  <c r="F59" i="28"/>
  <c r="D58" i="28"/>
  <c r="H56" i="28"/>
  <c r="F55" i="28"/>
  <c r="D54" i="28"/>
  <c r="H52" i="28"/>
  <c r="F51" i="28"/>
  <c r="D50" i="28"/>
  <c r="H48" i="28"/>
  <c r="F47" i="28"/>
  <c r="D46" i="28"/>
  <c r="H44" i="28"/>
  <c r="F43" i="28"/>
  <c r="D42" i="28"/>
  <c r="H40" i="28"/>
  <c r="F39" i="28"/>
  <c r="D38" i="28"/>
  <c r="H36" i="28"/>
  <c r="F35" i="28"/>
  <c r="D34" i="28"/>
  <c r="H32" i="28"/>
  <c r="F31" i="28"/>
  <c r="D30" i="28"/>
  <c r="H28" i="28"/>
  <c r="F27" i="28"/>
  <c r="D26" i="28"/>
  <c r="H24" i="28"/>
  <c r="F23" i="28"/>
  <c r="D22" i="28"/>
  <c r="H20" i="28"/>
  <c r="F19" i="28"/>
  <c r="D18" i="28"/>
  <c r="B221" i="28"/>
  <c r="B201" i="28"/>
  <c r="B184" i="28"/>
  <c r="B169" i="28"/>
  <c r="H157" i="28"/>
  <c r="D147" i="28"/>
  <c r="F136" i="28"/>
  <c r="D130" i="28"/>
  <c r="H125" i="28"/>
  <c r="D122" i="28"/>
  <c r="F119" i="28"/>
  <c r="H116" i="28"/>
  <c r="D114" i="28"/>
  <c r="F111" i="28"/>
  <c r="H108" i="28"/>
  <c r="D106" i="28"/>
  <c r="F103" i="28"/>
  <c r="H100" i="28"/>
  <c r="D98" i="28"/>
  <c r="G95" i="28"/>
  <c r="G93" i="28"/>
  <c r="F91" i="28"/>
  <c r="F89" i="28"/>
  <c r="D87" i="28"/>
  <c r="B85" i="28"/>
  <c r="B83" i="28"/>
  <c r="H80" i="28"/>
  <c r="H78" i="28"/>
  <c r="F76" i="28"/>
  <c r="E74" i="28"/>
  <c r="E72" i="28"/>
  <c r="F70" i="28"/>
  <c r="H68" i="28"/>
  <c r="B67" i="28"/>
  <c r="D65" i="28"/>
  <c r="F63" i="28"/>
  <c r="B62" i="28"/>
  <c r="G60" i="28"/>
  <c r="E59" i="28"/>
  <c r="B58" i="28"/>
  <c r="G56" i="28"/>
  <c r="E55" i="28"/>
  <c r="B54" i="28"/>
  <c r="G52" i="28"/>
  <c r="E51" i="28"/>
  <c r="B50" i="28"/>
  <c r="G48" i="28"/>
  <c r="E47" i="28"/>
  <c r="B46" i="28"/>
  <c r="G44" i="28"/>
  <c r="E43" i="28"/>
  <c r="B42" i="28"/>
  <c r="G40" i="28"/>
  <c r="E39" i="28"/>
  <c r="B38" i="28"/>
  <c r="G36" i="28"/>
  <c r="E35" i="28"/>
  <c r="B34" i="28"/>
  <c r="G32" i="28"/>
  <c r="E31" i="28"/>
  <c r="B30" i="28"/>
  <c r="G28" i="28"/>
  <c r="E27" i="28"/>
  <c r="B26" i="28"/>
  <c r="G24" i="28"/>
  <c r="E23" i="28"/>
  <c r="B22" i="28"/>
  <c r="G20" i="28"/>
  <c r="E19" i="28"/>
  <c r="B18" i="28"/>
  <c r="B217" i="28"/>
  <c r="F125" i="28"/>
  <c r="D103" i="28"/>
  <c r="H84" i="28"/>
  <c r="F68" i="28"/>
  <c r="F56" i="28"/>
  <c r="H45" i="28"/>
  <c r="D35" i="28"/>
  <c r="D27" i="28"/>
  <c r="H21" i="28"/>
  <c r="H198" i="28"/>
  <c r="H121" i="28"/>
  <c r="F100" i="28"/>
  <c r="H82" i="28"/>
  <c r="H66" i="28"/>
  <c r="D55" i="28"/>
  <c r="F44" i="28"/>
  <c r="H33" i="28"/>
  <c r="E26" i="28"/>
  <c r="B21" i="28"/>
  <c r="G181" i="28"/>
  <c r="D119" i="28"/>
  <c r="H97" i="28"/>
  <c r="F80" i="28"/>
  <c r="B65" i="28"/>
  <c r="H53" i="28"/>
  <c r="D43" i="28"/>
  <c r="F32" i="28"/>
  <c r="H25" i="28"/>
  <c r="F20" i="28"/>
  <c r="F167" i="28"/>
  <c r="F116" i="28"/>
  <c r="F95" i="28"/>
  <c r="E78" i="28"/>
  <c r="D63" i="28"/>
  <c r="F52" i="28"/>
  <c r="H41" i="28"/>
  <c r="D31" i="28"/>
  <c r="B25" i="28"/>
  <c r="B20" i="28"/>
  <c r="H113" i="28"/>
  <c r="E76" i="28"/>
  <c r="D51" i="28"/>
  <c r="F40" i="28"/>
  <c r="F24" i="28"/>
  <c r="F156" i="28"/>
  <c r="F93" i="28"/>
  <c r="H61" i="28"/>
  <c r="H29" i="28"/>
  <c r="G19" i="28"/>
  <c r="H145" i="28"/>
  <c r="D111" i="28"/>
  <c r="D91" i="28"/>
  <c r="D74" i="28"/>
  <c r="F60" i="28"/>
  <c r="H49" i="28"/>
  <c r="D39" i="28"/>
  <c r="B29" i="28"/>
  <c r="G23" i="28"/>
  <c r="D19" i="28"/>
  <c r="H105" i="28"/>
  <c r="E70" i="28"/>
  <c r="D47" i="28"/>
  <c r="G27" i="28"/>
  <c r="E22" i="28"/>
  <c r="D135" i="28"/>
  <c r="F108" i="28"/>
  <c r="B89" i="28"/>
  <c r="D72" i="28"/>
  <c r="D59" i="28"/>
  <c r="F48" i="28"/>
  <c r="H37" i="28"/>
  <c r="F28" i="28"/>
  <c r="D23" i="28"/>
  <c r="H18" i="28"/>
  <c r="H129" i="28"/>
  <c r="B87" i="28"/>
  <c r="H57" i="28"/>
  <c r="F36" i="28"/>
  <c r="G18" i="28"/>
  <c r="E18" i="28"/>
  <c r="E11" i="28"/>
  <c r="E10" i="28" s="1"/>
  <c r="E8" i="28"/>
  <c r="E9" i="27"/>
  <c r="E11" i="27" s="1"/>
  <c r="E10" i="27" s="1"/>
  <c r="E46" i="21"/>
  <c r="E47" i="21" l="1"/>
  <c r="K89" i="31" s="1"/>
  <c r="K86" i="31"/>
  <c r="M86" i="31" s="1"/>
  <c r="M88" i="31" s="1"/>
  <c r="N171" i="21"/>
  <c r="C171" i="21" s="1"/>
  <c r="E16" i="28"/>
  <c r="N113" i="21" s="1"/>
  <c r="J112" i="21"/>
  <c r="N112" i="21"/>
  <c r="K112" i="21"/>
  <c r="M112" i="21"/>
  <c r="I112" i="21"/>
  <c r="L112" i="21"/>
  <c r="E8" i="27"/>
  <c r="Q25" i="21" s="1"/>
  <c r="M54" i="21" s="1"/>
  <c r="E18" i="27"/>
  <c r="G28" i="27"/>
  <c r="B39" i="27"/>
  <c r="E50" i="27"/>
  <c r="G60" i="27"/>
  <c r="B71" i="27"/>
  <c r="E82" i="27"/>
  <c r="G92" i="27"/>
  <c r="B103" i="27"/>
  <c r="H20" i="27"/>
  <c r="D32" i="27"/>
  <c r="F42" i="27"/>
  <c r="H52" i="27"/>
  <c r="D64" i="27"/>
  <c r="F74" i="27"/>
  <c r="H84" i="27"/>
  <c r="D96" i="27"/>
  <c r="F106" i="27"/>
  <c r="B21" i="27"/>
  <c r="E32" i="27"/>
  <c r="G42" i="27"/>
  <c r="B53" i="27"/>
  <c r="E64" i="27"/>
  <c r="G74" i="27"/>
  <c r="B85" i="27"/>
  <c r="E96" i="27"/>
  <c r="D22" i="27"/>
  <c r="F32" i="27"/>
  <c r="H42" i="27"/>
  <c r="D54" i="27"/>
  <c r="F64" i="27"/>
  <c r="H74" i="27"/>
  <c r="D86" i="27"/>
  <c r="D21" i="27"/>
  <c r="F31" i="27"/>
  <c r="H41" i="27"/>
  <c r="D53" i="27"/>
  <c r="F63" i="27"/>
  <c r="H73" i="27"/>
  <c r="D85" i="27"/>
  <c r="F95" i="27"/>
  <c r="D20" i="27"/>
  <c r="F30" i="27"/>
  <c r="H40" i="27"/>
  <c r="D52" i="27"/>
  <c r="F62" i="27"/>
  <c r="H72" i="27"/>
  <c r="D84" i="27"/>
  <c r="F94" i="27"/>
  <c r="H104" i="27"/>
  <c r="F21" i="27"/>
  <c r="H31" i="27"/>
  <c r="D43" i="27"/>
  <c r="F53" i="27"/>
  <c r="H63" i="27"/>
  <c r="D75" i="27"/>
  <c r="F85" i="27"/>
  <c r="H95" i="27"/>
  <c r="D107" i="27"/>
  <c r="F44" i="27"/>
  <c r="F111" i="27"/>
  <c r="G122" i="27"/>
  <c r="B133" i="27"/>
  <c r="E144" i="27"/>
  <c r="G154" i="27"/>
  <c r="B165" i="27"/>
  <c r="E176" i="27"/>
  <c r="G186" i="27"/>
  <c r="E91" i="27"/>
  <c r="B116" i="27"/>
  <c r="E127" i="27"/>
  <c r="G137" i="27"/>
  <c r="B148" i="27"/>
  <c r="E159" i="27"/>
  <c r="G169" i="27"/>
  <c r="D74" i="27"/>
  <c r="G113" i="27"/>
  <c r="D125" i="27"/>
  <c r="F135" i="27"/>
  <c r="H145" i="27"/>
  <c r="D157" i="27"/>
  <c r="F167" i="27"/>
  <c r="H177" i="27"/>
  <c r="D189" i="27"/>
  <c r="D66" i="27"/>
  <c r="F19" i="27"/>
  <c r="H29" i="27"/>
  <c r="D41" i="27"/>
  <c r="F51" i="27"/>
  <c r="H61" i="27"/>
  <c r="D73" i="27"/>
  <c r="F83" i="27"/>
  <c r="H93" i="27"/>
  <c r="D105" i="27"/>
  <c r="B22" i="27"/>
  <c r="E33" i="27"/>
  <c r="G43" i="27"/>
  <c r="B54" i="27"/>
  <c r="E65" i="27"/>
  <c r="G75" i="27"/>
  <c r="B86" i="27"/>
  <c r="E97" i="27"/>
  <c r="G107" i="27"/>
  <c r="D23" i="27"/>
  <c r="F33" i="27"/>
  <c r="H43" i="27"/>
  <c r="D55" i="27"/>
  <c r="F65" i="27"/>
  <c r="H75" i="27"/>
  <c r="D87" i="27"/>
  <c r="F97" i="27"/>
  <c r="E23" i="27"/>
  <c r="G33" i="27"/>
  <c r="B44" i="27"/>
  <c r="E55" i="27"/>
  <c r="G65" i="27"/>
  <c r="B76" i="27"/>
  <c r="E87" i="27"/>
  <c r="E22" i="27"/>
  <c r="G32" i="27"/>
  <c r="B43" i="27"/>
  <c r="E54" i="27"/>
  <c r="G64" i="27"/>
  <c r="B75" i="27"/>
  <c r="E86" i="27"/>
  <c r="G96" i="27"/>
  <c r="E21" i="27"/>
  <c r="G31" i="27"/>
  <c r="B42" i="27"/>
  <c r="E53" i="27"/>
  <c r="G63" i="27"/>
  <c r="B74" i="27"/>
  <c r="E85" i="27"/>
  <c r="G95" i="27"/>
  <c r="B106" i="27"/>
  <c r="G22" i="27"/>
  <c r="B33" i="27"/>
  <c r="E44" i="27"/>
  <c r="G54" i="27"/>
  <c r="B65" i="27"/>
  <c r="E76" i="27"/>
  <c r="G86" i="27"/>
  <c r="B97" i="27"/>
  <c r="E108" i="27"/>
  <c r="G53" i="27"/>
  <c r="D113" i="27"/>
  <c r="H123" i="27"/>
  <c r="D135" i="27"/>
  <c r="F145" i="27"/>
  <c r="H155" i="27"/>
  <c r="D167" i="27"/>
  <c r="F177" i="27"/>
  <c r="D18" i="27"/>
  <c r="G97" i="27"/>
  <c r="D118" i="27"/>
  <c r="F128" i="27"/>
  <c r="H138" i="27"/>
  <c r="D150" i="27"/>
  <c r="F160" i="27"/>
  <c r="H170" i="27"/>
  <c r="E83" i="27"/>
  <c r="B115" i="27"/>
  <c r="E126" i="27"/>
  <c r="G136" i="27"/>
  <c r="B147" i="27"/>
  <c r="G20" i="27"/>
  <c r="B31" i="27"/>
  <c r="E42" i="27"/>
  <c r="G52" i="27"/>
  <c r="B63" i="27"/>
  <c r="E74" i="27"/>
  <c r="G84" i="27"/>
  <c r="B95" i="27"/>
  <c r="E106" i="27"/>
  <c r="D24" i="27"/>
  <c r="F34" i="27"/>
  <c r="H44" i="27"/>
  <c r="D56" i="27"/>
  <c r="F66" i="27"/>
  <c r="H76" i="27"/>
  <c r="D88" i="27"/>
  <c r="F98" i="27"/>
  <c r="H108" i="27"/>
  <c r="E24" i="27"/>
  <c r="G34" i="27"/>
  <c r="B45" i="27"/>
  <c r="E56" i="27"/>
  <c r="G66" i="27"/>
  <c r="B77" i="27"/>
  <c r="E88" i="27"/>
  <c r="G98" i="27"/>
  <c r="F24" i="27"/>
  <c r="H34" i="27"/>
  <c r="D46" i="27"/>
  <c r="F56" i="27"/>
  <c r="H66" i="27"/>
  <c r="D78" i="27"/>
  <c r="F88" i="27"/>
  <c r="F23" i="27"/>
  <c r="H33" i="27"/>
  <c r="D45" i="27"/>
  <c r="F55" i="27"/>
  <c r="H65" i="27"/>
  <c r="D77" i="27"/>
  <c r="F87" i="27"/>
  <c r="H97" i="27"/>
  <c r="F22" i="27"/>
  <c r="H32" i="27"/>
  <c r="D44" i="27"/>
  <c r="F54" i="27"/>
  <c r="H64" i="27"/>
  <c r="D76" i="27"/>
  <c r="F86" i="27"/>
  <c r="H96" i="27"/>
  <c r="D108" i="27"/>
  <c r="H23" i="27"/>
  <c r="D35" i="27"/>
  <c r="F45" i="27"/>
  <c r="H55" i="27"/>
  <c r="D67" i="27"/>
  <c r="F77" i="27"/>
  <c r="H87" i="27"/>
  <c r="D99" i="27"/>
  <c r="F109" i="27"/>
  <c r="H62" i="27"/>
  <c r="G114" i="27"/>
  <c r="B125" i="27"/>
  <c r="E136" i="27"/>
  <c r="G146" i="27"/>
  <c r="B157" i="27"/>
  <c r="E168" i="27"/>
  <c r="G178" i="27"/>
  <c r="E27" i="27"/>
  <c r="D102" i="27"/>
  <c r="E119" i="27"/>
  <c r="G129" i="27"/>
  <c r="B140" i="27"/>
  <c r="E151" i="27"/>
  <c r="G161" i="27"/>
  <c r="B172" i="27"/>
  <c r="F92" i="27"/>
  <c r="D117" i="27"/>
  <c r="F127" i="27"/>
  <c r="H21" i="27"/>
  <c r="D33" i="27"/>
  <c r="F43" i="27"/>
  <c r="H53" i="27"/>
  <c r="D65" i="27"/>
  <c r="F75" i="27"/>
  <c r="H85" i="27"/>
  <c r="D97" i="27"/>
  <c r="F107" i="27"/>
  <c r="E25" i="27"/>
  <c r="G35" i="27"/>
  <c r="B46" i="27"/>
  <c r="E57" i="27"/>
  <c r="G67" i="27"/>
  <c r="B78" i="27"/>
  <c r="E89" i="27"/>
  <c r="G99" i="27"/>
  <c r="B110" i="27"/>
  <c r="F25" i="27"/>
  <c r="H35" i="27"/>
  <c r="D47" i="27"/>
  <c r="F57" i="27"/>
  <c r="H67" i="27"/>
  <c r="D79" i="27"/>
  <c r="F89" i="27"/>
  <c r="H99" i="27"/>
  <c r="G25" i="27"/>
  <c r="B36" i="27"/>
  <c r="E47" i="27"/>
  <c r="G57" i="27"/>
  <c r="B68" i="27"/>
  <c r="E79" i="27"/>
  <c r="G89" i="27"/>
  <c r="G24" i="27"/>
  <c r="B35" i="27"/>
  <c r="E46" i="27"/>
  <c r="G56" i="27"/>
  <c r="B67" i="27"/>
  <c r="E78" i="27"/>
  <c r="G88" i="27"/>
  <c r="B99" i="27"/>
  <c r="G23" i="27"/>
  <c r="B34" i="27"/>
  <c r="E45" i="27"/>
  <c r="G55" i="27"/>
  <c r="B66" i="27"/>
  <c r="E77" i="27"/>
  <c r="G87" i="27"/>
  <c r="B98" i="27"/>
  <c r="E109" i="27"/>
  <c r="B25" i="27"/>
  <c r="E36" i="27"/>
  <c r="G46" i="27"/>
  <c r="B57" i="27"/>
  <c r="E68" i="27"/>
  <c r="G78" i="27"/>
  <c r="B89" i="27"/>
  <c r="E100" i="27"/>
  <c r="G110" i="27"/>
  <c r="B72" i="27"/>
  <c r="H115" i="27"/>
  <c r="D127" i="27"/>
  <c r="F137" i="27"/>
  <c r="H147" i="27"/>
  <c r="B23" i="27"/>
  <c r="E34" i="27"/>
  <c r="G44" i="27"/>
  <c r="B55" i="27"/>
  <c r="E66" i="27"/>
  <c r="G76" i="27"/>
  <c r="B87" i="27"/>
  <c r="E98" i="27"/>
  <c r="G108" i="27"/>
  <c r="F26" i="27"/>
  <c r="H36" i="27"/>
  <c r="D48" i="27"/>
  <c r="F58" i="27"/>
  <c r="H68" i="27"/>
  <c r="D80" i="27"/>
  <c r="F90" i="27"/>
  <c r="H100" i="27"/>
  <c r="D112" i="27"/>
  <c r="G26" i="27"/>
  <c r="B37" i="27"/>
  <c r="E48" i="27"/>
  <c r="G58" i="27"/>
  <c r="B69" i="27"/>
  <c r="E80" i="27"/>
  <c r="G90" i="27"/>
  <c r="B101" i="27"/>
  <c r="H26" i="27"/>
  <c r="D38" i="27"/>
  <c r="F48" i="27"/>
  <c r="H58" i="27"/>
  <c r="D70" i="27"/>
  <c r="F80" i="27"/>
  <c r="H90" i="27"/>
  <c r="H25" i="27"/>
  <c r="D37" i="27"/>
  <c r="F47" i="27"/>
  <c r="H57" i="27"/>
  <c r="D69" i="27"/>
  <c r="F79" i="27"/>
  <c r="H89" i="27"/>
  <c r="D101" i="27"/>
  <c r="H24" i="27"/>
  <c r="D36" i="27"/>
  <c r="F46" i="27"/>
  <c r="H56" i="27"/>
  <c r="D68" i="27"/>
  <c r="F78" i="27"/>
  <c r="H88" i="27"/>
  <c r="D100" i="27"/>
  <c r="F110" i="27"/>
  <c r="D27" i="27"/>
  <c r="F37" i="27"/>
  <c r="H47" i="27"/>
  <c r="D59" i="27"/>
  <c r="F69" i="27"/>
  <c r="H79" i="27"/>
  <c r="D91" i="27"/>
  <c r="F101" i="27"/>
  <c r="H111" i="27"/>
  <c r="D90" i="27"/>
  <c r="B117" i="27"/>
  <c r="E128" i="27"/>
  <c r="G138" i="27"/>
  <c r="B149" i="27"/>
  <c r="E160" i="27"/>
  <c r="G170" i="27"/>
  <c r="D25" i="27"/>
  <c r="F35" i="27"/>
  <c r="H45" i="27"/>
  <c r="D57" i="27"/>
  <c r="F67" i="27"/>
  <c r="H77" i="27"/>
  <c r="D89" i="27"/>
  <c r="F99" i="27"/>
  <c r="H109" i="27"/>
  <c r="G27" i="27"/>
  <c r="B38" i="27"/>
  <c r="E49" i="27"/>
  <c r="G59" i="27"/>
  <c r="B70" i="27"/>
  <c r="E81" i="27"/>
  <c r="G91" i="27"/>
  <c r="B102" i="27"/>
  <c r="E113" i="27"/>
  <c r="H27" i="27"/>
  <c r="D39" i="27"/>
  <c r="F49" i="27"/>
  <c r="H59" i="27"/>
  <c r="D71" i="27"/>
  <c r="F81" i="27"/>
  <c r="H91" i="27"/>
  <c r="D103" i="27"/>
  <c r="B28" i="27"/>
  <c r="E39" i="27"/>
  <c r="G49" i="27"/>
  <c r="B60" i="27"/>
  <c r="E71" i="27"/>
  <c r="G81" i="27"/>
  <c r="B92" i="27"/>
  <c r="B27" i="27"/>
  <c r="E38" i="27"/>
  <c r="G48" i="27"/>
  <c r="B59" i="27"/>
  <c r="E70" i="27"/>
  <c r="G80" i="27"/>
  <c r="B91" i="27"/>
  <c r="E102" i="27"/>
  <c r="B26" i="27"/>
  <c r="E37" i="27"/>
  <c r="G47" i="27"/>
  <c r="B58" i="27"/>
  <c r="E69" i="27"/>
  <c r="G79" i="27"/>
  <c r="B90" i="27"/>
  <c r="E101" i="27"/>
  <c r="G111" i="27"/>
  <c r="E28" i="27"/>
  <c r="G38" i="27"/>
  <c r="B49" i="27"/>
  <c r="E60" i="27"/>
  <c r="G70" i="27"/>
  <c r="B81" i="27"/>
  <c r="E92" i="27"/>
  <c r="G102" i="27"/>
  <c r="B113" i="27"/>
  <c r="G101" i="27"/>
  <c r="D119" i="27"/>
  <c r="F129" i="27"/>
  <c r="H139" i="27"/>
  <c r="D151" i="27"/>
  <c r="F161" i="27"/>
  <c r="H171" i="27"/>
  <c r="D183" i="27"/>
  <c r="H54" i="27"/>
  <c r="B112" i="27"/>
  <c r="H122" i="27"/>
  <c r="D134" i="27"/>
  <c r="F144" i="27"/>
  <c r="E26" i="27"/>
  <c r="G36" i="27"/>
  <c r="B47" i="27"/>
  <c r="E58" i="27"/>
  <c r="G68" i="27"/>
  <c r="B79" i="27"/>
  <c r="E90" i="27"/>
  <c r="G100" i="27"/>
  <c r="F18" i="27"/>
  <c r="H28" i="27"/>
  <c r="D40" i="27"/>
  <c r="F50" i="27"/>
  <c r="H60" i="27"/>
  <c r="D72" i="27"/>
  <c r="F82" i="27"/>
  <c r="H92" i="27"/>
  <c r="D104" i="27"/>
  <c r="G18" i="27"/>
  <c r="B29" i="27"/>
  <c r="E40" i="27"/>
  <c r="G50" i="27"/>
  <c r="B61" i="27"/>
  <c r="E72" i="27"/>
  <c r="G82" i="27"/>
  <c r="B93" i="27"/>
  <c r="H18" i="27"/>
  <c r="D30" i="27"/>
  <c r="F40" i="27"/>
  <c r="H50" i="27"/>
  <c r="D62" i="27"/>
  <c r="F72" i="27"/>
  <c r="H82" i="27"/>
  <c r="D94" i="27"/>
  <c r="D29" i="27"/>
  <c r="F39" i="27"/>
  <c r="H49" i="27"/>
  <c r="D61" i="27"/>
  <c r="F71" i="27"/>
  <c r="H81" i="27"/>
  <c r="D93" i="27"/>
  <c r="F103" i="27"/>
  <c r="D28" i="27"/>
  <c r="F38" i="27"/>
  <c r="H48" i="27"/>
  <c r="D60" i="27"/>
  <c r="F70" i="27"/>
  <c r="H80" i="27"/>
  <c r="D92" i="27"/>
  <c r="F102" i="27"/>
  <c r="D19" i="27"/>
  <c r="F29" i="27"/>
  <c r="H39" i="27"/>
  <c r="D51" i="27"/>
  <c r="F61" i="27"/>
  <c r="H71" i="27"/>
  <c r="D83" i="27"/>
  <c r="F93" i="27"/>
  <c r="H103" i="27"/>
  <c r="D26" i="27"/>
  <c r="E107" i="27"/>
  <c r="E120" i="27"/>
  <c r="G130" i="27"/>
  <c r="B141" i="27"/>
  <c r="E152" i="27"/>
  <c r="G162" i="27"/>
  <c r="B173" i="27"/>
  <c r="E184" i="27"/>
  <c r="B64" i="27"/>
  <c r="F113" i="27"/>
  <c r="B124" i="27"/>
  <c r="E135" i="27"/>
  <c r="G145" i="27"/>
  <c r="B156" i="27"/>
  <c r="E167" i="27"/>
  <c r="H46" i="27"/>
  <c r="B108" i="27"/>
  <c r="H121" i="27"/>
  <c r="D133" i="27"/>
  <c r="F27" i="27"/>
  <c r="G19" i="27"/>
  <c r="E105" i="27"/>
  <c r="D95" i="27"/>
  <c r="B19" i="27"/>
  <c r="B18" i="27"/>
  <c r="G103" i="27"/>
  <c r="G94" i="27"/>
  <c r="D159" i="27"/>
  <c r="G45" i="27"/>
  <c r="H130" i="27"/>
  <c r="H154" i="27"/>
  <c r="G37" i="27"/>
  <c r="G120" i="27"/>
  <c r="D141" i="27"/>
  <c r="H153" i="27"/>
  <c r="E166" i="27"/>
  <c r="B179" i="27"/>
  <c r="F191" i="27"/>
  <c r="G93" i="27"/>
  <c r="E117" i="27"/>
  <c r="G127" i="27"/>
  <c r="B138" i="27"/>
  <c r="E149" i="27"/>
  <c r="G159" i="27"/>
  <c r="G85" i="27"/>
  <c r="B114" i="27"/>
  <c r="E124" i="27"/>
  <c r="G134" i="27"/>
  <c r="B145" i="27"/>
  <c r="E156" i="27"/>
  <c r="G166" i="27"/>
  <c r="F68" i="27"/>
  <c r="B111" i="27"/>
  <c r="D122" i="27"/>
  <c r="F132" i="27"/>
  <c r="H142" i="27"/>
  <c r="D154" i="27"/>
  <c r="H78" i="27"/>
  <c r="E114" i="27"/>
  <c r="G124" i="27"/>
  <c r="B135" i="27"/>
  <c r="E146" i="27"/>
  <c r="G156" i="27"/>
  <c r="B167" i="27"/>
  <c r="E178" i="27"/>
  <c r="G188" i="27"/>
  <c r="H158" i="27"/>
  <c r="E179" i="27"/>
  <c r="D194" i="27"/>
  <c r="F204" i="27"/>
  <c r="H214" i="27"/>
  <c r="D226" i="27"/>
  <c r="F236" i="27"/>
  <c r="H246" i="27"/>
  <c r="D258" i="27"/>
  <c r="D152" i="27"/>
  <c r="E183" i="27"/>
  <c r="D201" i="27"/>
  <c r="F211" i="27"/>
  <c r="H221" i="27"/>
  <c r="D233" i="27"/>
  <c r="F243" i="27"/>
  <c r="H253" i="27"/>
  <c r="D265" i="27"/>
  <c r="F275" i="27"/>
  <c r="B160" i="27"/>
  <c r="G181" i="27"/>
  <c r="F194" i="27"/>
  <c r="H204" i="27"/>
  <c r="D216" i="27"/>
  <c r="F226" i="27"/>
  <c r="H236" i="27"/>
  <c r="D248" i="27"/>
  <c r="F258" i="27"/>
  <c r="H268" i="27"/>
  <c r="G104" i="27"/>
  <c r="B170" i="27"/>
  <c r="G185" i="27"/>
  <c r="B197" i="27"/>
  <c r="E208" i="27"/>
  <c r="G218" i="27"/>
  <c r="B229" i="27"/>
  <c r="E240" i="27"/>
  <c r="G250" i="27"/>
  <c r="B261" i="27"/>
  <c r="D164" i="27"/>
  <c r="B184" i="27"/>
  <c r="D198" i="27"/>
  <c r="H37" i="27"/>
  <c r="B30" i="27"/>
  <c r="H19" i="27"/>
  <c r="B20" i="27"/>
  <c r="E30" i="27"/>
  <c r="E29" i="27"/>
  <c r="E20" i="27"/>
  <c r="B105" i="27"/>
  <c r="H163" i="27"/>
  <c r="D82" i="27"/>
  <c r="B132" i="27"/>
  <c r="D158" i="27"/>
  <c r="B56" i="27"/>
  <c r="B123" i="27"/>
  <c r="E142" i="27"/>
  <c r="B155" i="27"/>
  <c r="G168" i="27"/>
  <c r="D181" i="27"/>
  <c r="G192" i="27"/>
  <c r="H98" i="27"/>
  <c r="F118" i="27"/>
  <c r="H128" i="27"/>
  <c r="D140" i="27"/>
  <c r="F150" i="27"/>
  <c r="H160" i="27"/>
  <c r="H94" i="27"/>
  <c r="D115" i="27"/>
  <c r="F125" i="27"/>
  <c r="H135" i="27"/>
  <c r="D147" i="27"/>
  <c r="F157" i="27"/>
  <c r="H167" i="27"/>
  <c r="G77" i="27"/>
  <c r="G112" i="27"/>
  <c r="E123" i="27"/>
  <c r="G133" i="27"/>
  <c r="B144" i="27"/>
  <c r="E155" i="27"/>
  <c r="B88" i="27"/>
  <c r="F115" i="27"/>
  <c r="H125" i="27"/>
  <c r="D137" i="27"/>
  <c r="F147" i="27"/>
  <c r="H157" i="27"/>
  <c r="D169" i="27"/>
  <c r="F179" i="27"/>
  <c r="H189" i="27"/>
  <c r="F162" i="27"/>
  <c r="E181" i="27"/>
  <c r="E195" i="27"/>
  <c r="G205" i="27"/>
  <c r="B216" i="27"/>
  <c r="E227" i="27"/>
  <c r="G237" i="27"/>
  <c r="B248" i="27"/>
  <c r="E259" i="27"/>
  <c r="B166" i="27"/>
  <c r="F188" i="27"/>
  <c r="E202" i="27"/>
  <c r="G212" i="27"/>
  <c r="B223" i="27"/>
  <c r="E234" i="27"/>
  <c r="G244" i="27"/>
  <c r="B255" i="27"/>
  <c r="E266" i="27"/>
  <c r="G276" i="27"/>
  <c r="E163" i="27"/>
  <c r="G183" i="27"/>
  <c r="G195" i="27"/>
  <c r="B206" i="27"/>
  <c r="E217" i="27"/>
  <c r="G227" i="27"/>
  <c r="B238" i="27"/>
  <c r="E249" i="27"/>
  <c r="G259" i="27"/>
  <c r="B270" i="27"/>
  <c r="B118" i="27"/>
  <c r="F172" i="27"/>
  <c r="E187" i="27"/>
  <c r="D199" i="27"/>
  <c r="F209" i="27"/>
  <c r="H219" i="27"/>
  <c r="D231" i="27"/>
  <c r="D49" i="27"/>
  <c r="E41" i="27"/>
  <c r="D31" i="27"/>
  <c r="E31" i="27"/>
  <c r="G40" i="27"/>
  <c r="G39" i="27"/>
  <c r="G30" i="27"/>
  <c r="E35" i="27"/>
  <c r="F169" i="27"/>
  <c r="F105" i="27"/>
  <c r="F136" i="27"/>
  <c r="H162" i="27"/>
  <c r="D98" i="27"/>
  <c r="G128" i="27"/>
  <c r="F143" i="27"/>
  <c r="E158" i="27"/>
  <c r="H169" i="27"/>
  <c r="E182" i="27"/>
  <c r="F20" i="27"/>
  <c r="E103" i="27"/>
  <c r="G119" i="27"/>
  <c r="B130" i="27"/>
  <c r="E141" i="27"/>
  <c r="G151" i="27"/>
  <c r="G21" i="27"/>
  <c r="E99" i="27"/>
  <c r="E116" i="27"/>
  <c r="G126" i="27"/>
  <c r="B137" i="27"/>
  <c r="E148" i="27"/>
  <c r="G158" i="27"/>
  <c r="B169" i="27"/>
  <c r="H86" i="27"/>
  <c r="D114" i="27"/>
  <c r="F124" i="27"/>
  <c r="H134" i="27"/>
  <c r="D146" i="27"/>
  <c r="F156" i="27"/>
  <c r="B96" i="27"/>
  <c r="G116" i="27"/>
  <c r="B127" i="27"/>
  <c r="E138" i="27"/>
  <c r="G148" i="27"/>
  <c r="B159" i="27"/>
  <c r="E170" i="27"/>
  <c r="G180" i="27"/>
  <c r="B191" i="27"/>
  <c r="G165" i="27"/>
  <c r="B185" i="27"/>
  <c r="F196" i="27"/>
  <c r="H206" i="27"/>
  <c r="D218" i="27"/>
  <c r="F228" i="27"/>
  <c r="H238" i="27"/>
  <c r="D250" i="27"/>
  <c r="F260" i="27"/>
  <c r="D172" i="27"/>
  <c r="G191" i="27"/>
  <c r="F203" i="27"/>
  <c r="H213" i="27"/>
  <c r="D225" i="27"/>
  <c r="F235" i="27"/>
  <c r="H245" i="27"/>
  <c r="D257" i="27"/>
  <c r="F267" i="27"/>
  <c r="H277" i="27"/>
  <c r="F166" i="27"/>
  <c r="E185" i="27"/>
  <c r="H196" i="27"/>
  <c r="D208" i="27"/>
  <c r="F218" i="27"/>
  <c r="H228" i="27"/>
  <c r="D240" i="27"/>
  <c r="F250" i="27"/>
  <c r="H260" i="27"/>
  <c r="D272" i="27"/>
  <c r="D136" i="27"/>
  <c r="F59" i="27"/>
  <c r="G51" i="27"/>
  <c r="F41" i="27"/>
  <c r="G41" i="27"/>
  <c r="B51" i="27"/>
  <c r="B50" i="27"/>
  <c r="B41" i="27"/>
  <c r="G109" i="27"/>
  <c r="D175" i="27"/>
  <c r="H107" i="27"/>
  <c r="D142" i="27"/>
  <c r="B164" i="27"/>
  <c r="H102" i="27"/>
  <c r="H129" i="27"/>
  <c r="G144" i="27"/>
  <c r="F159" i="27"/>
  <c r="B171" i="27"/>
  <c r="F183" i="27"/>
  <c r="G29" i="27"/>
  <c r="H105" i="27"/>
  <c r="H120" i="27"/>
  <c r="D132" i="27"/>
  <c r="F142" i="27"/>
  <c r="H152" i="27"/>
  <c r="H30" i="27"/>
  <c r="B104" i="27"/>
  <c r="F117" i="27"/>
  <c r="H127" i="27"/>
  <c r="D139" i="27"/>
  <c r="F149" i="27"/>
  <c r="H159" i="27"/>
  <c r="D171" i="27"/>
  <c r="E95" i="27"/>
  <c r="E115" i="27"/>
  <c r="G125" i="27"/>
  <c r="B136" i="27"/>
  <c r="E147" i="27"/>
  <c r="B24" i="27"/>
  <c r="F100" i="27"/>
  <c r="H117" i="27"/>
  <c r="D129" i="27"/>
  <c r="F139" i="27"/>
  <c r="H149" i="27"/>
  <c r="D161" i="27"/>
  <c r="F171" i="27"/>
  <c r="H181" i="27"/>
  <c r="D193" i="27"/>
  <c r="H168" i="27"/>
  <c r="H186" i="27"/>
  <c r="G197" i="27"/>
  <c r="B208" i="27"/>
  <c r="E219" i="27"/>
  <c r="G229" i="27"/>
  <c r="B240" i="27"/>
  <c r="E251" i="27"/>
  <c r="G261" i="27"/>
  <c r="D174" i="27"/>
  <c r="E194" i="27"/>
  <c r="G204" i="27"/>
  <c r="B215" i="27"/>
  <c r="E226" i="27"/>
  <c r="G236" i="27"/>
  <c r="B247" i="27"/>
  <c r="E258" i="27"/>
  <c r="G268" i="27"/>
  <c r="D34" i="27"/>
  <c r="E169" i="27"/>
  <c r="D187" i="27"/>
  <c r="B198" i="27"/>
  <c r="E209" i="27"/>
  <c r="G219" i="27"/>
  <c r="B230" i="27"/>
  <c r="E241" i="27"/>
  <c r="G251" i="27"/>
  <c r="B262" i="27"/>
  <c r="H69" i="27"/>
  <c r="B62" i="27"/>
  <c r="H51" i="27"/>
  <c r="B52" i="27"/>
  <c r="E62" i="27"/>
  <c r="E61" i="27"/>
  <c r="E52" i="27"/>
  <c r="F121" i="27"/>
  <c r="H179" i="27"/>
  <c r="H114" i="27"/>
  <c r="E143" i="27"/>
  <c r="D166" i="27"/>
  <c r="G105" i="27"/>
  <c r="B131" i="27"/>
  <c r="D149" i="27"/>
  <c r="G160" i="27"/>
  <c r="D173" i="27"/>
  <c r="G184" i="27"/>
  <c r="H38" i="27"/>
  <c r="E110" i="27"/>
  <c r="B122" i="27"/>
  <c r="E133" i="27"/>
  <c r="G143" i="27"/>
  <c r="B154" i="27"/>
  <c r="B40" i="27"/>
  <c r="D106" i="27"/>
  <c r="G118" i="27"/>
  <c r="B129" i="27"/>
  <c r="E140" i="27"/>
  <c r="G150" i="27"/>
  <c r="B161" i="27"/>
  <c r="H22" i="27"/>
  <c r="B100" i="27"/>
  <c r="F116" i="27"/>
  <c r="H126" i="27"/>
  <c r="D138" i="27"/>
  <c r="F148" i="27"/>
  <c r="D42" i="27"/>
  <c r="F104" i="27"/>
  <c r="B119" i="27"/>
  <c r="E130" i="27"/>
  <c r="G140" i="27"/>
  <c r="B151" i="27"/>
  <c r="E162" i="27"/>
  <c r="G172" i="27"/>
  <c r="B183" i="27"/>
  <c r="F114" i="27"/>
  <c r="G171" i="27"/>
  <c r="E188" i="27"/>
  <c r="H198" i="27"/>
  <c r="D210" i="27"/>
  <c r="F220" i="27"/>
  <c r="H230" i="27"/>
  <c r="D242" i="27"/>
  <c r="F252" i="27"/>
  <c r="F96" i="27"/>
  <c r="B176" i="27"/>
  <c r="F195" i="27"/>
  <c r="H205" i="27"/>
  <c r="D217" i="27"/>
  <c r="F227" i="27"/>
  <c r="H237" i="27"/>
  <c r="D249" i="27"/>
  <c r="F259" i="27"/>
  <c r="H269" i="27"/>
  <c r="H116" i="27"/>
  <c r="E172" i="27"/>
  <c r="D81" i="27"/>
  <c r="E73" i="27"/>
  <c r="D63" i="27"/>
  <c r="E63" i="27"/>
  <c r="G72" i="27"/>
  <c r="G71" i="27"/>
  <c r="G62" i="27"/>
  <c r="H131" i="27"/>
  <c r="B181" i="27"/>
  <c r="F120" i="27"/>
  <c r="H146" i="27"/>
  <c r="F168" i="27"/>
  <c r="D110" i="27"/>
  <c r="E134" i="27"/>
  <c r="E150" i="27"/>
  <c r="H161" i="27"/>
  <c r="E174" i="27"/>
  <c r="H185" i="27"/>
  <c r="B48" i="27"/>
  <c r="E112" i="27"/>
  <c r="D124" i="27"/>
  <c r="F134" i="27"/>
  <c r="H144" i="27"/>
  <c r="D156" i="27"/>
  <c r="D58" i="27"/>
  <c r="F108" i="27"/>
  <c r="H119" i="27"/>
  <c r="D131" i="27"/>
  <c r="F141" i="27"/>
  <c r="H151" i="27"/>
  <c r="D163" i="27"/>
  <c r="B32" i="27"/>
  <c r="E104" i="27"/>
  <c r="G117" i="27"/>
  <c r="B128" i="27"/>
  <c r="E139" i="27"/>
  <c r="G149" i="27"/>
  <c r="E51" i="27"/>
  <c r="H106" i="27"/>
  <c r="D121" i="27"/>
  <c r="F131" i="27"/>
  <c r="H141" i="27"/>
  <c r="D153" i="27"/>
  <c r="F163" i="27"/>
  <c r="H173" i="27"/>
  <c r="D185" i="27"/>
  <c r="G123" i="27"/>
  <c r="B174" i="27"/>
  <c r="B190" i="27"/>
  <c r="B200" i="27"/>
  <c r="E211" i="27"/>
  <c r="G221" i="27"/>
  <c r="B232" i="27"/>
  <c r="E243" i="27"/>
  <c r="G253" i="27"/>
  <c r="G115" i="27"/>
  <c r="B178" i="27"/>
  <c r="G196" i="27"/>
  <c r="B207" i="27"/>
  <c r="E218" i="27"/>
  <c r="G228" i="27"/>
  <c r="B239" i="27"/>
  <c r="E250" i="27"/>
  <c r="G260" i="27"/>
  <c r="B271" i="27"/>
  <c r="B126" i="27"/>
  <c r="F174" i="27"/>
  <c r="D190" i="27"/>
  <c r="E201" i="27"/>
  <c r="G211" i="27"/>
  <c r="B222" i="27"/>
  <c r="E233" i="27"/>
  <c r="G243" i="27"/>
  <c r="B254" i="27"/>
  <c r="E265" i="27"/>
  <c r="G275" i="27"/>
  <c r="D160" i="27"/>
  <c r="D180" i="27"/>
  <c r="F193" i="27"/>
  <c r="H203" i="27"/>
  <c r="D215" i="27"/>
  <c r="F225" i="27"/>
  <c r="H235" i="27"/>
  <c r="D247" i="27"/>
  <c r="F257" i="27"/>
  <c r="F91" i="27"/>
  <c r="G83" i="27"/>
  <c r="F73" i="27"/>
  <c r="G73" i="27"/>
  <c r="B83" i="27"/>
  <c r="B82" i="27"/>
  <c r="B73" i="27"/>
  <c r="D143" i="27"/>
  <c r="F185" i="27"/>
  <c r="G121" i="27"/>
  <c r="F152" i="27"/>
  <c r="E19" i="27"/>
  <c r="E118" i="27"/>
  <c r="H137" i="27"/>
  <c r="F151" i="27"/>
  <c r="B163" i="27"/>
  <c r="F175" i="27"/>
  <c r="B187" i="27"/>
  <c r="E75" i="27"/>
  <c r="H113" i="27"/>
  <c r="E125" i="27"/>
  <c r="G135" i="27"/>
  <c r="B146" i="27"/>
  <c r="E157" i="27"/>
  <c r="E67" i="27"/>
  <c r="H110" i="27"/>
  <c r="B121" i="27"/>
  <c r="E132" i="27"/>
  <c r="G142" i="27"/>
  <c r="B153" i="27"/>
  <c r="E164" i="27"/>
  <c r="D50" i="27"/>
  <c r="G106" i="27"/>
  <c r="H118" i="27"/>
  <c r="D130" i="27"/>
  <c r="F140" i="27"/>
  <c r="H150" i="27"/>
  <c r="F60" i="27"/>
  <c r="D111" i="27"/>
  <c r="E122" i="27"/>
  <c r="G132" i="27"/>
  <c r="B143" i="27"/>
  <c r="E154" i="27"/>
  <c r="G164" i="27"/>
  <c r="B175" i="27"/>
  <c r="E186" i="27"/>
  <c r="H132" i="27"/>
  <c r="H175" i="27"/>
  <c r="E191" i="27"/>
  <c r="D202" i="27"/>
  <c r="F212" i="27"/>
  <c r="H222" i="27"/>
  <c r="D234" i="27"/>
  <c r="F244" i="27"/>
  <c r="H254" i="27"/>
  <c r="H124" i="27"/>
  <c r="G179" i="27"/>
  <c r="H197" i="27"/>
  <c r="D209" i="27"/>
  <c r="F219" i="27"/>
  <c r="H229" i="27"/>
  <c r="D241" i="27"/>
  <c r="F251" i="27"/>
  <c r="H261" i="27"/>
  <c r="D273" i="27"/>
  <c r="D144" i="27"/>
  <c r="D176" i="27"/>
  <c r="H191" i="27"/>
  <c r="F202" i="27"/>
  <c r="H212" i="27"/>
  <c r="D224" i="27"/>
  <c r="F234" i="27"/>
  <c r="H244" i="27"/>
  <c r="D256" i="27"/>
  <c r="F266" i="27"/>
  <c r="H276" i="27"/>
  <c r="G163" i="27"/>
  <c r="B182" i="27"/>
  <c r="G194" i="27"/>
  <c r="B205" i="27"/>
  <c r="E216" i="27"/>
  <c r="G226" i="27"/>
  <c r="B237" i="27"/>
  <c r="E248" i="27"/>
  <c r="G258" i="27"/>
  <c r="H101" i="27"/>
  <c r="F36" i="27"/>
  <c r="G176" i="27"/>
  <c r="F76" i="27"/>
  <c r="B109" i="27"/>
  <c r="H133" i="27"/>
  <c r="B193" i="27"/>
  <c r="F181" i="27"/>
  <c r="E274" i="27"/>
  <c r="B214" i="27"/>
  <c r="E257" i="27"/>
  <c r="H166" i="27"/>
  <c r="H195" i="27"/>
  <c r="F217" i="27"/>
  <c r="D239" i="27"/>
  <c r="D255" i="27"/>
  <c r="F146" i="27"/>
  <c r="D182" i="27"/>
  <c r="E199" i="27"/>
  <c r="G209" i="27"/>
  <c r="B220" i="27"/>
  <c r="E231" i="27"/>
  <c r="D109" i="27"/>
  <c r="G167" i="27"/>
  <c r="H187" i="27"/>
  <c r="F199" i="27"/>
  <c r="H209" i="27"/>
  <c r="D221" i="27"/>
  <c r="F231" i="27"/>
  <c r="H241" i="27"/>
  <c r="D253" i="27"/>
  <c r="B162" i="27"/>
  <c r="D186" i="27"/>
  <c r="G199" i="27"/>
  <c r="B210" i="27"/>
  <c r="E221" i="27"/>
  <c r="G231" i="27"/>
  <c r="B242" i="27"/>
  <c r="E253" i="27"/>
  <c r="G263" i="27"/>
  <c r="B274" i="27"/>
  <c r="E244" i="27"/>
  <c r="E268" i="27"/>
  <c r="B281" i="27"/>
  <c r="E292" i="27"/>
  <c r="G302" i="27"/>
  <c r="B313" i="27"/>
  <c r="E324" i="27"/>
  <c r="E204" i="27"/>
  <c r="H262" i="27"/>
  <c r="H278" i="27"/>
  <c r="D290" i="27"/>
  <c r="F300" i="27"/>
  <c r="H310" i="27"/>
  <c r="D322" i="27"/>
  <c r="F332" i="27"/>
  <c r="H223" i="27"/>
  <c r="B267" i="27"/>
  <c r="E282" i="27"/>
  <c r="G292" i="27"/>
  <c r="B303" i="27"/>
  <c r="E314" i="27"/>
  <c r="G324" i="27"/>
  <c r="B335" i="27"/>
  <c r="E346" i="27"/>
  <c r="F197" i="27"/>
  <c r="H257" i="27"/>
  <c r="B278" i="27"/>
  <c r="E289" i="27"/>
  <c r="G299" i="27"/>
  <c r="B310" i="27"/>
  <c r="E321" i="27"/>
  <c r="G331" i="27"/>
  <c r="B342" i="27"/>
  <c r="G246" i="27"/>
  <c r="D271" i="27"/>
  <c r="H283" i="27"/>
  <c r="D295" i="27"/>
  <c r="F305" i="27"/>
  <c r="H199" i="27"/>
  <c r="H258" i="27"/>
  <c r="B277" i="27"/>
  <c r="B94" i="27"/>
  <c r="D126" i="27"/>
  <c r="E190" i="27"/>
  <c r="F112" i="27"/>
  <c r="B120" i="27"/>
  <c r="D145" i="27"/>
  <c r="E203" i="27"/>
  <c r="B199" i="27"/>
  <c r="E153" i="27"/>
  <c r="H220" i="27"/>
  <c r="D264" i="27"/>
  <c r="G174" i="27"/>
  <c r="E200" i="27"/>
  <c r="B221" i="27"/>
  <c r="F241" i="27"/>
  <c r="E256" i="27"/>
  <c r="G155" i="27"/>
  <c r="B186" i="27"/>
  <c r="F200" i="27"/>
  <c r="H210" i="27"/>
  <c r="D222" i="27"/>
  <c r="F232" i="27"/>
  <c r="D120" i="27"/>
  <c r="F170" i="27"/>
  <c r="E189" i="27"/>
  <c r="G200" i="27"/>
  <c r="B211" i="27"/>
  <c r="E222" i="27"/>
  <c r="G232" i="27"/>
  <c r="B243" i="27"/>
  <c r="H70" i="27"/>
  <c r="H164" i="27"/>
  <c r="B188" i="27"/>
  <c r="H200" i="27"/>
  <c r="D212" i="27"/>
  <c r="F222" i="27"/>
  <c r="H232" i="27"/>
  <c r="D244" i="27"/>
  <c r="F254" i="27"/>
  <c r="H264" i="27"/>
  <c r="D276" i="27"/>
  <c r="B249" i="27"/>
  <c r="D270" i="27"/>
  <c r="D283" i="27"/>
  <c r="F293" i="27"/>
  <c r="H303" i="27"/>
  <c r="D315" i="27"/>
  <c r="F325" i="27"/>
  <c r="F213" i="27"/>
  <c r="B265" i="27"/>
  <c r="B280" i="27"/>
  <c r="E291" i="27"/>
  <c r="G301" i="27"/>
  <c r="B312" i="27"/>
  <c r="E323" i="27"/>
  <c r="G333" i="27"/>
  <c r="B233" i="27"/>
  <c r="B269" i="27"/>
  <c r="F283" i="27"/>
  <c r="H293" i="27"/>
  <c r="D305" i="27"/>
  <c r="F315" i="27"/>
  <c r="H325" i="27"/>
  <c r="D337" i="27"/>
  <c r="F347" i="27"/>
  <c r="G206" i="27"/>
  <c r="F263" i="27"/>
  <c r="D280" i="27"/>
  <c r="F290" i="27"/>
  <c r="H300" i="27"/>
  <c r="D312" i="27"/>
  <c r="F322" i="27"/>
  <c r="H332" i="27"/>
  <c r="G131" i="27"/>
  <c r="D251" i="27"/>
  <c r="B273" i="27"/>
  <c r="H83" i="27"/>
  <c r="G153" i="27"/>
  <c r="F84" i="27"/>
  <c r="D123" i="27"/>
  <c r="E131" i="27"/>
  <c r="F155" i="27"/>
  <c r="G213" i="27"/>
  <c r="E210" i="27"/>
  <c r="B180" i="27"/>
  <c r="E225" i="27"/>
  <c r="G267" i="27"/>
  <c r="F176" i="27"/>
  <c r="F201" i="27"/>
  <c r="D223" i="27"/>
  <c r="G242" i="27"/>
  <c r="H259" i="27"/>
  <c r="D170" i="27"/>
  <c r="G187" i="27"/>
  <c r="G201" i="27"/>
  <c r="B212" i="27"/>
  <c r="E223" i="27"/>
  <c r="G233" i="27"/>
  <c r="E129" i="27"/>
  <c r="E173" i="27"/>
  <c r="H190" i="27"/>
  <c r="H201" i="27"/>
  <c r="D213" i="27"/>
  <c r="F223" i="27"/>
  <c r="H233" i="27"/>
  <c r="D245" i="27"/>
  <c r="E111" i="27"/>
  <c r="B168" i="27"/>
  <c r="F189" i="27"/>
  <c r="B202" i="27"/>
  <c r="E213" i="27"/>
  <c r="G223" i="27"/>
  <c r="B234" i="27"/>
  <c r="E245" i="27"/>
  <c r="G255" i="27"/>
  <c r="B266" i="27"/>
  <c r="D162" i="27"/>
  <c r="F253" i="27"/>
  <c r="B272" i="27"/>
  <c r="E284" i="27"/>
  <c r="G294" i="27"/>
  <c r="B305" i="27"/>
  <c r="E316" i="27"/>
  <c r="G326" i="27"/>
  <c r="G222" i="27"/>
  <c r="H266" i="27"/>
  <c r="D282" i="27"/>
  <c r="F292" i="27"/>
  <c r="H302" i="27"/>
  <c r="D314" i="27"/>
  <c r="F324" i="27"/>
  <c r="H334" i="27"/>
  <c r="B241" i="27"/>
  <c r="G270" i="27"/>
  <c r="G284" i="27"/>
  <c r="B295" i="27"/>
  <c r="E306" i="27"/>
  <c r="G316" i="27"/>
  <c r="B327" i="27"/>
  <c r="E338" i="27"/>
  <c r="G348" i="27"/>
  <c r="H215" i="27"/>
  <c r="F265" i="27"/>
  <c r="E281" i="27"/>
  <c r="G291" i="27"/>
  <c r="B302" i="27"/>
  <c r="E313" i="27"/>
  <c r="G323" i="27"/>
  <c r="B334" i="27"/>
  <c r="G173" i="27"/>
  <c r="E255" i="27"/>
  <c r="H274" i="27"/>
  <c r="D287" i="27"/>
  <c r="F297" i="27"/>
  <c r="H307" i="27"/>
  <c r="D227" i="27"/>
  <c r="B264" i="27"/>
  <c r="E279" i="27"/>
  <c r="G289" i="27"/>
  <c r="B300" i="27"/>
  <c r="E311" i="27"/>
  <c r="B84" i="27"/>
  <c r="F28" i="27"/>
  <c r="D116" i="27"/>
  <c r="F133" i="27"/>
  <c r="G141" i="27"/>
  <c r="H165" i="27"/>
  <c r="B224" i="27"/>
  <c r="G220" i="27"/>
  <c r="H188" i="27"/>
  <c r="D232" i="27"/>
  <c r="E273" i="27"/>
  <c r="D178" i="27"/>
  <c r="G202" i="27"/>
  <c r="E224" i="27"/>
  <c r="H243" i="27"/>
  <c r="D263" i="27"/>
  <c r="H172" i="27"/>
  <c r="G190" i="27"/>
  <c r="H202" i="27"/>
  <c r="D214" i="27"/>
  <c r="F224" i="27"/>
  <c r="H234" i="27"/>
  <c r="F138" i="27"/>
  <c r="B177" i="27"/>
  <c r="E192" i="27"/>
  <c r="B203" i="27"/>
  <c r="E214" i="27"/>
  <c r="G224" i="27"/>
  <c r="B235" i="27"/>
  <c r="E246" i="27"/>
  <c r="E121" i="27"/>
  <c r="F173" i="27"/>
  <c r="F192" i="27"/>
  <c r="D204" i="27"/>
  <c r="F214" i="27"/>
  <c r="H224" i="27"/>
  <c r="D236" i="27"/>
  <c r="F246" i="27"/>
  <c r="H256" i="27"/>
  <c r="D268" i="27"/>
  <c r="D203" i="27"/>
  <c r="G256" i="27"/>
  <c r="H273" i="27"/>
  <c r="F285" i="27"/>
  <c r="H295" i="27"/>
  <c r="D307" i="27"/>
  <c r="F317" i="27"/>
  <c r="H327" i="27"/>
  <c r="H231" i="27"/>
  <c r="F268" i="27"/>
  <c r="E283" i="27"/>
  <c r="G293" i="27"/>
  <c r="B304" i="27"/>
  <c r="E315" i="27"/>
  <c r="G325" i="27"/>
  <c r="D168" i="27"/>
  <c r="F245" i="27"/>
  <c r="F272" i="27"/>
  <c r="H285" i="27"/>
  <c r="D297" i="27"/>
  <c r="F307" i="27"/>
  <c r="H317" i="27"/>
  <c r="D329" i="27"/>
  <c r="F339" i="27"/>
  <c r="H349" i="27"/>
  <c r="B225" i="27"/>
  <c r="D267" i="27"/>
  <c r="F282" i="27"/>
  <c r="H292" i="27"/>
  <c r="D304" i="27"/>
  <c r="E94" i="27"/>
  <c r="F119" i="27"/>
  <c r="F126" i="27"/>
  <c r="H143" i="27"/>
  <c r="B152" i="27"/>
  <c r="D177" i="27"/>
  <c r="E235" i="27"/>
  <c r="B231" i="27"/>
  <c r="E193" i="27"/>
  <c r="G235" i="27"/>
  <c r="F274" i="27"/>
  <c r="H183" i="27"/>
  <c r="D207" i="27"/>
  <c r="H227" i="27"/>
  <c r="B245" i="27"/>
  <c r="F52" i="27"/>
  <c r="H174" i="27"/>
  <c r="D192" i="27"/>
  <c r="B204" i="27"/>
  <c r="E215" i="27"/>
  <c r="G225" i="27"/>
  <c r="B236" i="27"/>
  <c r="G147" i="27"/>
  <c r="H178" i="27"/>
  <c r="H193" i="27"/>
  <c r="D205" i="27"/>
  <c r="F215" i="27"/>
  <c r="H225" i="27"/>
  <c r="D237" i="27"/>
  <c r="F247" i="27"/>
  <c r="F130" i="27"/>
  <c r="E175" i="27"/>
  <c r="B194" i="27"/>
  <c r="E205" i="27"/>
  <c r="G215" i="27"/>
  <c r="B226" i="27"/>
  <c r="E237" i="27"/>
  <c r="G247" i="27"/>
  <c r="B258" i="27"/>
  <c r="E269" i="27"/>
  <c r="E212" i="27"/>
  <c r="B260" i="27"/>
  <c r="H275" i="27"/>
  <c r="G286" i="27"/>
  <c r="B297" i="27"/>
  <c r="E308" i="27"/>
  <c r="G318" i="27"/>
  <c r="B80" i="27"/>
  <c r="F240" i="27"/>
  <c r="E270" i="27"/>
  <c r="F284" i="27"/>
  <c r="H294" i="27"/>
  <c r="D306" i="27"/>
  <c r="F316" i="27"/>
  <c r="H326" i="27"/>
  <c r="H184" i="27"/>
  <c r="E254" i="27"/>
  <c r="D274" i="27"/>
  <c r="B287" i="27"/>
  <c r="E298" i="27"/>
  <c r="G308" i="27"/>
  <c r="E93" i="27"/>
  <c r="B139" i="27"/>
  <c r="H136" i="27"/>
  <c r="D155" i="27"/>
  <c r="G69" i="27"/>
  <c r="F187" i="27"/>
  <c r="G245" i="27"/>
  <c r="E242" i="27"/>
  <c r="D200" i="27"/>
  <c r="F242" i="27"/>
  <c r="E43" i="27"/>
  <c r="B189" i="27"/>
  <c r="G210" i="27"/>
  <c r="E232" i="27"/>
  <c r="F249" i="27"/>
  <c r="B107" i="27"/>
  <c r="H176" i="27"/>
  <c r="G193" i="27"/>
  <c r="D206" i="27"/>
  <c r="F216" i="27"/>
  <c r="H226" i="27"/>
  <c r="D238" i="27"/>
  <c r="H156" i="27"/>
  <c r="F180" i="27"/>
  <c r="B195" i="27"/>
  <c r="E206" i="27"/>
  <c r="G216" i="27"/>
  <c r="B227" i="27"/>
  <c r="E238" i="27"/>
  <c r="G248" i="27"/>
  <c r="G139" i="27"/>
  <c r="H180" i="27"/>
  <c r="D196" i="27"/>
  <c r="F206" i="27"/>
  <c r="H216" i="27"/>
  <c r="D228" i="27"/>
  <c r="F238" i="27"/>
  <c r="H248" i="27"/>
  <c r="D260" i="27"/>
  <c r="F270" i="27"/>
  <c r="F221" i="27"/>
  <c r="G262" i="27"/>
  <c r="E277" i="27"/>
  <c r="H287" i="27"/>
  <c r="D299" i="27"/>
  <c r="F309" i="27"/>
  <c r="H319" i="27"/>
  <c r="E165" i="27"/>
  <c r="G249" i="27"/>
  <c r="E272" i="27"/>
  <c r="G285" i="27"/>
  <c r="B296" i="27"/>
  <c r="E307" i="27"/>
  <c r="G317" i="27"/>
  <c r="B328" i="27"/>
  <c r="E196" i="27"/>
  <c r="G257" i="27"/>
  <c r="G277" i="27"/>
  <c r="D289" i="27"/>
  <c r="F299" i="27"/>
  <c r="H309" i="27"/>
  <c r="D321" i="27"/>
  <c r="F331" i="27"/>
  <c r="H341" i="27"/>
  <c r="F122" i="27"/>
  <c r="D246" i="27"/>
  <c r="G272" i="27"/>
  <c r="H284" i="27"/>
  <c r="D296" i="27"/>
  <c r="E84" i="27"/>
  <c r="G152" i="27"/>
  <c r="D148" i="27"/>
  <c r="F165" i="27"/>
  <c r="H112" i="27"/>
  <c r="B142" i="27"/>
  <c r="B256" i="27"/>
  <c r="G252" i="27"/>
  <c r="G203" i="27"/>
  <c r="B246" i="27"/>
  <c r="E145" i="27"/>
  <c r="F190" i="27"/>
  <c r="H211" i="27"/>
  <c r="F233" i="27"/>
  <c r="H251" i="27"/>
  <c r="D128" i="27"/>
  <c r="F178" i="27"/>
  <c r="H194" i="27"/>
  <c r="E207" i="27"/>
  <c r="G217" i="27"/>
  <c r="B228" i="27"/>
  <c r="E239" i="27"/>
  <c r="E161" i="27"/>
  <c r="F182" i="27"/>
  <c r="D197" i="27"/>
  <c r="F207" i="27"/>
  <c r="H217" i="27"/>
  <c r="D229" i="27"/>
  <c r="F239" i="27"/>
  <c r="H249" i="27"/>
  <c r="H148" i="27"/>
  <c r="G182" i="27"/>
  <c r="E197" i="27"/>
  <c r="G207" i="27"/>
  <c r="B218" i="27"/>
  <c r="E229" i="27"/>
  <c r="G239" i="27"/>
  <c r="B250" i="27"/>
  <c r="E261" i="27"/>
  <c r="G271" i="27"/>
  <c r="G230" i="27"/>
  <c r="G264" i="27"/>
  <c r="G278" i="27"/>
  <c r="B289" i="27"/>
  <c r="E300" i="27"/>
  <c r="G310" i="27"/>
  <c r="B321" i="27"/>
  <c r="H182" i="27"/>
  <c r="D254" i="27"/>
  <c r="B276" i="27"/>
  <c r="H286" i="27"/>
  <c r="D298" i="27"/>
  <c r="F308" i="27"/>
  <c r="H318" i="27"/>
  <c r="D330" i="27"/>
  <c r="F205" i="27"/>
  <c r="E260" i="27"/>
  <c r="B279" i="27"/>
  <c r="E290" i="27"/>
  <c r="G300" i="27"/>
  <c r="B311" i="27"/>
  <c r="E322" i="27"/>
  <c r="G332" i="27"/>
  <c r="B343" i="27"/>
  <c r="E171" i="27"/>
  <c r="H250" i="27"/>
  <c r="G274" i="27"/>
  <c r="B286" i="27"/>
  <c r="E297" i="27"/>
  <c r="G307" i="27"/>
  <c r="B318" i="27"/>
  <c r="E329" i="27"/>
  <c r="G339" i="27"/>
  <c r="B217" i="27"/>
  <c r="E267" i="27"/>
  <c r="F281" i="27"/>
  <c r="H291" i="27"/>
  <c r="D303" i="27"/>
  <c r="G175" i="27"/>
  <c r="B252" i="27"/>
  <c r="E271" i="27"/>
  <c r="B284" i="27"/>
  <c r="E295" i="27"/>
  <c r="G305" i="27"/>
  <c r="B316" i="27"/>
  <c r="F153" i="27"/>
  <c r="F210" i="27"/>
  <c r="E180" i="27"/>
  <c r="E198" i="27"/>
  <c r="F198" i="27"/>
  <c r="H239" i="27"/>
  <c r="B257" i="27"/>
  <c r="E263" i="27"/>
  <c r="H333" i="27"/>
  <c r="E276" i="27"/>
  <c r="F314" i="27"/>
  <c r="D336" i="27"/>
  <c r="D261" i="27"/>
  <c r="B285" i="27"/>
  <c r="B301" i="27"/>
  <c r="E236" i="27"/>
  <c r="B275" i="27"/>
  <c r="H290" i="27"/>
  <c r="F304" i="27"/>
  <c r="E319" i="27"/>
  <c r="B201" i="27"/>
  <c r="B259" i="27"/>
  <c r="E278" i="27"/>
  <c r="G288" i="27"/>
  <c r="B299" i="27"/>
  <c r="E310" i="27"/>
  <c r="G320" i="27"/>
  <c r="B331" i="27"/>
  <c r="E342" i="27"/>
  <c r="G352" i="27"/>
  <c r="G238" i="27"/>
  <c r="H271" i="27"/>
  <c r="D284" i="27"/>
  <c r="F294" i="27"/>
  <c r="H304" i="27"/>
  <c r="D316" i="27"/>
  <c r="F326" i="27"/>
  <c r="H336" i="27"/>
  <c r="D348" i="27"/>
  <c r="E345" i="27"/>
  <c r="D358" i="27"/>
  <c r="F368" i="27"/>
  <c r="E358" i="27"/>
  <c r="B376" i="27"/>
  <c r="B337" i="27"/>
  <c r="G353" i="27"/>
  <c r="D373" i="27"/>
  <c r="G334" i="27"/>
  <c r="B354" i="27"/>
  <c r="E365" i="27"/>
  <c r="G375" i="27"/>
  <c r="B329" i="27"/>
  <c r="D351" i="27"/>
  <c r="D363" i="27"/>
  <c r="G374" i="27"/>
  <c r="F329" i="27"/>
  <c r="B348" i="27"/>
  <c r="H358" i="27"/>
  <c r="E371" i="27"/>
  <c r="G342" i="27"/>
  <c r="H357" i="27"/>
  <c r="B336" i="27"/>
  <c r="H351" i="27"/>
  <c r="F362" i="27"/>
  <c r="H372" i="27"/>
  <c r="F333" i="27"/>
  <c r="B352" i="27"/>
  <c r="G362" i="27"/>
  <c r="B373" i="27"/>
  <c r="E353" i="27"/>
  <c r="D375" i="27"/>
  <c r="B353" i="27"/>
  <c r="H342" i="27"/>
  <c r="E377" i="27"/>
  <c r="H355" i="27"/>
  <c r="F369" i="27"/>
  <c r="G282" i="27"/>
  <c r="D309" i="27"/>
  <c r="D266" i="27"/>
  <c r="G335" i="27"/>
  <c r="G376" i="27"/>
  <c r="D364" i="27"/>
  <c r="E372" i="27"/>
  <c r="D326" i="27"/>
  <c r="H371" i="27"/>
  <c r="D165" i="27"/>
  <c r="H252" i="27"/>
  <c r="B196" i="27"/>
  <c r="G208" i="27"/>
  <c r="H208" i="27"/>
  <c r="G266" i="27"/>
  <c r="F277" i="27"/>
  <c r="D281" i="27"/>
  <c r="G340" i="27"/>
  <c r="G283" i="27"/>
  <c r="G315" i="27"/>
  <c r="E337" i="27"/>
  <c r="H263" i="27"/>
  <c r="E288" i="27"/>
  <c r="E304" i="27"/>
  <c r="H242" i="27"/>
  <c r="D278" i="27"/>
  <c r="B292" i="27"/>
  <c r="H306" i="27"/>
  <c r="F320" i="27"/>
  <c r="D219" i="27"/>
  <c r="D262" i="27"/>
  <c r="F279" i="27"/>
  <c r="H289" i="27"/>
  <c r="D301" i="27"/>
  <c r="F311" i="27"/>
  <c r="H321" i="27"/>
  <c r="D333" i="27"/>
  <c r="F343" i="27"/>
  <c r="H353" i="27"/>
  <c r="B244" i="27"/>
  <c r="G273" i="27"/>
  <c r="E285" i="27"/>
  <c r="G295" i="27"/>
  <c r="B306" i="27"/>
  <c r="E317" i="27"/>
  <c r="G327" i="27"/>
  <c r="B338" i="27"/>
  <c r="E349" i="27"/>
  <c r="D347" i="27"/>
  <c r="E359" i="27"/>
  <c r="G369" i="27"/>
  <c r="G360" i="27"/>
  <c r="H365" i="27"/>
  <c r="D339" i="27"/>
  <c r="B355" i="27"/>
  <c r="F375" i="27"/>
  <c r="E339" i="27"/>
  <c r="D356" i="27"/>
  <c r="F366" i="27"/>
  <c r="H376" i="27"/>
  <c r="B332" i="27"/>
  <c r="H352" i="27"/>
  <c r="E364" i="27"/>
  <c r="B377" i="27"/>
  <c r="E332" i="27"/>
  <c r="B350" i="27"/>
  <c r="B360" i="27"/>
  <c r="H374" i="27"/>
  <c r="F344" i="27"/>
  <c r="B359" i="27"/>
  <c r="D338" i="27"/>
  <c r="D353" i="27"/>
  <c r="G363" i="27"/>
  <c r="B374" i="27"/>
  <c r="E336" i="27"/>
  <c r="H363" i="27"/>
  <c r="E363" i="27"/>
  <c r="E362" i="27"/>
  <c r="B366" i="27"/>
  <c r="F377" i="27"/>
  <c r="H346" i="27"/>
  <c r="H299" i="27"/>
  <c r="H297" i="27"/>
  <c r="D341" i="27"/>
  <c r="B314" i="27"/>
  <c r="E367" i="27"/>
  <c r="H331" i="27"/>
  <c r="B361" i="27"/>
  <c r="G356" i="27"/>
  <c r="F350" i="27"/>
  <c r="F158" i="27"/>
  <c r="F154" i="27"/>
  <c r="F208" i="27"/>
  <c r="B219" i="27"/>
  <c r="D220" i="27"/>
  <c r="H279" i="27"/>
  <c r="B288" i="27"/>
  <c r="F291" i="27"/>
  <c r="D345" i="27"/>
  <c r="D288" i="27"/>
  <c r="H316" i="27"/>
  <c r="F338" i="27"/>
  <c r="G265" i="27"/>
  <c r="F289" i="27"/>
  <c r="G306" i="27"/>
  <c r="E247" i="27"/>
  <c r="F280" i="27"/>
  <c r="D294" i="27"/>
  <c r="B308" i="27"/>
  <c r="G321" i="27"/>
  <c r="E228" i="27"/>
  <c r="E264" i="27"/>
  <c r="G280" i="27"/>
  <c r="B291" i="27"/>
  <c r="E302" i="27"/>
  <c r="G312" i="27"/>
  <c r="B323" i="27"/>
  <c r="E334" i="27"/>
  <c r="G344" i="27"/>
  <c r="B158" i="27"/>
  <c r="F248" i="27"/>
  <c r="E275" i="27"/>
  <c r="F286" i="27"/>
  <c r="H296" i="27"/>
  <c r="D308" i="27"/>
  <c r="F318" i="27"/>
  <c r="H328" i="27"/>
  <c r="D340" i="27"/>
  <c r="E320" i="27"/>
  <c r="B349" i="27"/>
  <c r="F360" i="27"/>
  <c r="H370" i="27"/>
  <c r="B363" i="27"/>
  <c r="B375" i="27"/>
  <c r="F341" i="27"/>
  <c r="D357" i="27"/>
  <c r="H377" i="27"/>
  <c r="G341" i="27"/>
  <c r="E357" i="27"/>
  <c r="G367" i="27"/>
  <c r="F373" i="27"/>
  <c r="D335" i="27"/>
  <c r="D355" i="27"/>
  <c r="F365" i="27"/>
  <c r="D370" i="27"/>
  <c r="E335" i="27"/>
  <c r="E351" i="27"/>
  <c r="D362" i="27"/>
  <c r="E370" i="27"/>
  <c r="F346" i="27"/>
  <c r="D361" i="27"/>
  <c r="F340" i="27"/>
  <c r="F354" i="27"/>
  <c r="H364" i="27"/>
  <c r="D376" i="27"/>
  <c r="G338" i="27"/>
  <c r="G354" i="27"/>
  <c r="B365" i="27"/>
  <c r="E376" i="27"/>
  <c r="E348" i="27"/>
  <c r="D367" i="27"/>
  <c r="D319" i="27"/>
  <c r="F288" i="27"/>
  <c r="B282" i="27"/>
  <c r="E343" i="27"/>
  <c r="F352" i="27"/>
  <c r="G357" i="27"/>
  <c r="G371" i="27"/>
  <c r="E59" i="27"/>
  <c r="B192" i="27"/>
  <c r="H218" i="27"/>
  <c r="E230" i="27"/>
  <c r="F230" i="27"/>
  <c r="D291" i="27"/>
  <c r="E299" i="27"/>
  <c r="H301" i="27"/>
  <c r="B351" i="27"/>
  <c r="B294" i="27"/>
  <c r="D320" i="27"/>
  <c r="H340" i="27"/>
  <c r="D269" i="27"/>
  <c r="G290" i="27"/>
  <c r="B309" i="27"/>
  <c r="F255" i="27"/>
  <c r="G281" i="27"/>
  <c r="F296" i="27"/>
  <c r="D310" i="27"/>
  <c r="H322" i="27"/>
  <c r="F237" i="27"/>
  <c r="B268" i="27"/>
  <c r="H281" i="27"/>
  <c r="D293" i="27"/>
  <c r="F303" i="27"/>
  <c r="H313" i="27"/>
  <c r="D325" i="27"/>
  <c r="F335" i="27"/>
  <c r="H345" i="27"/>
  <c r="D179" i="27"/>
  <c r="F256" i="27"/>
  <c r="D277" i="27"/>
  <c r="G287" i="27"/>
  <c r="B298" i="27"/>
  <c r="E309" i="27"/>
  <c r="G319" i="27"/>
  <c r="B330" i="27"/>
  <c r="E341" i="27"/>
  <c r="E327" i="27"/>
  <c r="G350" i="27"/>
  <c r="G361" i="27"/>
  <c r="B372" i="27"/>
  <c r="D365" i="27"/>
  <c r="E312" i="27"/>
  <c r="H343" i="27"/>
  <c r="F359" i="27"/>
  <c r="B367" i="27"/>
  <c r="B344" i="27"/>
  <c r="F358" i="27"/>
  <c r="H368" i="27"/>
  <c r="H375" i="27"/>
  <c r="F337" i="27"/>
  <c r="E356" i="27"/>
  <c r="G366" i="27"/>
  <c r="G373" i="27"/>
  <c r="G337" i="27"/>
  <c r="B317" i="27"/>
  <c r="G355" i="27"/>
  <c r="B341" i="27"/>
  <c r="D359" i="27"/>
  <c r="B209" i="27"/>
  <c r="F319" i="27"/>
  <c r="E293" i="27"/>
  <c r="B356" i="27"/>
  <c r="B371" i="27"/>
  <c r="B325" i="27"/>
  <c r="E361" i="27"/>
  <c r="F123" i="27"/>
  <c r="B213" i="27"/>
  <c r="D230" i="27"/>
  <c r="G240" i="27"/>
  <c r="H240" i="27"/>
  <c r="F301" i="27"/>
  <c r="G309" i="27"/>
  <c r="D313" i="27"/>
  <c r="F186" i="27"/>
  <c r="F298" i="27"/>
  <c r="H324" i="27"/>
  <c r="D188" i="27"/>
  <c r="F276" i="27"/>
  <c r="B293" i="27"/>
  <c r="D311" i="27"/>
  <c r="F261" i="27"/>
  <c r="H282" i="27"/>
  <c r="G297" i="27"/>
  <c r="F312" i="27"/>
  <c r="B324" i="27"/>
  <c r="D243" i="27"/>
  <c r="G269" i="27"/>
  <c r="B283" i="27"/>
  <c r="E294" i="27"/>
  <c r="G304" i="27"/>
  <c r="B315" i="27"/>
  <c r="E326" i="27"/>
  <c r="G336" i="27"/>
  <c r="B347" i="27"/>
  <c r="H192" i="27"/>
  <c r="D259" i="27"/>
  <c r="F278" i="27"/>
  <c r="H288" i="27"/>
  <c r="D300" i="27"/>
  <c r="F310" i="27"/>
  <c r="H320" i="27"/>
  <c r="D332" i="27"/>
  <c r="F342" i="27"/>
  <c r="H330" i="27"/>
  <c r="D352" i="27"/>
  <c r="H362" i="27"/>
  <c r="D374" i="27"/>
  <c r="F367" i="27"/>
  <c r="F321" i="27"/>
  <c r="F345" i="27"/>
  <c r="H361" i="27"/>
  <c r="F313" i="27"/>
  <c r="G345" i="27"/>
  <c r="G359" i="27"/>
  <c r="B370" i="27"/>
  <c r="F372" i="27"/>
  <c r="H339" i="27"/>
  <c r="F357" i="27"/>
  <c r="H367" i="27"/>
  <c r="D369" i="27"/>
  <c r="B340" i="27"/>
  <c r="D354" i="27"/>
  <c r="F364" i="27"/>
  <c r="G329" i="27"/>
  <c r="G351" i="27"/>
  <c r="F363" i="27"/>
  <c r="B345" i="27"/>
  <c r="H356" i="27"/>
  <c r="D368" i="27"/>
  <c r="H373" i="27"/>
  <c r="D343" i="27"/>
  <c r="B357" i="27"/>
  <c r="E368" i="27"/>
  <c r="D235" i="27"/>
  <c r="H255" i="27"/>
  <c r="F351" i="27"/>
  <c r="E325" i="27"/>
  <c r="D334" i="27"/>
  <c r="G349" i="27"/>
  <c r="B368" i="27"/>
  <c r="G330" i="27"/>
  <c r="G177" i="27"/>
  <c r="G234" i="27"/>
  <c r="G61" i="27"/>
  <c r="B251" i="27"/>
  <c r="D252" i="27"/>
  <c r="H311" i="27"/>
  <c r="B320" i="27"/>
  <c r="B319" i="27"/>
  <c r="G241" i="27"/>
  <c r="E305" i="27"/>
  <c r="B326" i="27"/>
  <c r="G198" i="27"/>
  <c r="D279" i="27"/>
  <c r="E296" i="27"/>
  <c r="H140" i="27"/>
  <c r="H265" i="27"/>
  <c r="D286" i="27"/>
  <c r="H298" i="27"/>
  <c r="G313" i="27"/>
  <c r="B150" i="27"/>
  <c r="H247" i="27"/>
  <c r="F271" i="27"/>
  <c r="D285" i="27"/>
  <c r="F295" i="27"/>
  <c r="H305" i="27"/>
  <c r="D317" i="27"/>
  <c r="F327" i="27"/>
  <c r="H337" i="27"/>
  <c r="D349" i="27"/>
  <c r="D211" i="27"/>
  <c r="E262" i="27"/>
  <c r="G279" i="27"/>
  <c r="B290" i="27"/>
  <c r="E301" i="27"/>
  <c r="G311" i="27"/>
  <c r="B322" i="27"/>
  <c r="E333" i="27"/>
  <c r="G343" i="27"/>
  <c r="F336" i="27"/>
  <c r="F353" i="27"/>
  <c r="B364" i="27"/>
  <c r="E375" i="27"/>
  <c r="H369" i="27"/>
  <c r="E328" i="27"/>
  <c r="E347" i="27"/>
  <c r="E366" i="27"/>
  <c r="G322" i="27"/>
  <c r="G347" i="27"/>
  <c r="H360" i="27"/>
  <c r="D372" i="27"/>
  <c r="F371" i="27"/>
  <c r="D344" i="27"/>
  <c r="G358" i="27"/>
  <c r="B369" i="27"/>
  <c r="D377" i="27"/>
  <c r="D342" i="27"/>
  <c r="E355" i="27"/>
  <c r="G365" i="27"/>
  <c r="B333" i="27"/>
  <c r="E354" i="27"/>
  <c r="G364" i="27"/>
  <c r="G346" i="27"/>
  <c r="B358" i="27"/>
  <c r="E369" i="27"/>
  <c r="F269" i="27"/>
  <c r="F287" i="27"/>
  <c r="F229" i="27"/>
  <c r="B346" i="27"/>
  <c r="E352" i="27"/>
  <c r="H323" i="27"/>
  <c r="E340" i="27"/>
  <c r="F361" i="27"/>
  <c r="B134" i="27"/>
  <c r="B253" i="27"/>
  <c r="F164" i="27"/>
  <c r="G157" i="27"/>
  <c r="F262" i="27"/>
  <c r="D323" i="27"/>
  <c r="E331" i="27"/>
  <c r="F323" i="27"/>
  <c r="G254" i="27"/>
  <c r="F306" i="27"/>
  <c r="D328" i="27"/>
  <c r="H207" i="27"/>
  <c r="E280" i="27"/>
  <c r="G298" i="27"/>
  <c r="G189" i="27"/>
  <c r="H267" i="27"/>
  <c r="E287" i="27"/>
  <c r="D302" i="27"/>
  <c r="H314" i="27"/>
  <c r="E177" i="27"/>
  <c r="E252" i="27"/>
  <c r="F273" i="27"/>
  <c r="E286" i="27"/>
  <c r="G296" i="27"/>
  <c r="B307" i="27"/>
  <c r="E318" i="27"/>
  <c r="G328" i="27"/>
  <c r="B339" i="27"/>
  <c r="E350" i="27"/>
  <c r="E220" i="27"/>
  <c r="F264" i="27"/>
  <c r="H280" i="27"/>
  <c r="D292" i="27"/>
  <c r="F302" i="27"/>
  <c r="H312" i="27"/>
  <c r="D324" i="27"/>
  <c r="F334" i="27"/>
  <c r="H344" i="27"/>
  <c r="H338" i="27"/>
  <c r="H354" i="27"/>
  <c r="D366" i="27"/>
  <c r="F376" i="27"/>
  <c r="E374" i="27"/>
  <c r="D331" i="27"/>
  <c r="H350" i="27"/>
  <c r="G368" i="27"/>
  <c r="F328" i="27"/>
  <c r="F349" i="27"/>
  <c r="B362" i="27"/>
  <c r="E373" i="27"/>
  <c r="G314" i="27"/>
  <c r="H347" i="27"/>
  <c r="H359" i="27"/>
  <c r="D371" i="27"/>
  <c r="H315" i="27"/>
  <c r="E344" i="27"/>
  <c r="F356" i="27"/>
  <c r="H366" i="27"/>
  <c r="H335" i="27"/>
  <c r="F355" i="27"/>
  <c r="G372" i="27"/>
  <c r="F348" i="27"/>
  <c r="D360" i="27"/>
  <c r="F370" i="27"/>
  <c r="D327" i="27"/>
  <c r="H348" i="27"/>
  <c r="E360" i="27"/>
  <c r="G370" i="27"/>
  <c r="B263" i="27"/>
  <c r="E137" i="27"/>
  <c r="D184" i="27"/>
  <c r="F184" i="27"/>
  <c r="H272" i="27"/>
  <c r="D195" i="27"/>
  <c r="G214" i="27"/>
  <c r="E330" i="27"/>
  <c r="H270" i="27"/>
  <c r="H308" i="27"/>
  <c r="F330" i="27"/>
  <c r="E303" i="27"/>
  <c r="D318" i="27"/>
  <c r="D191" i="27"/>
  <c r="D275" i="27"/>
  <c r="H329" i="27"/>
  <c r="G303" i="27"/>
  <c r="G377" i="27"/>
  <c r="F374" i="27"/>
  <c r="D346" i="27"/>
  <c r="D350" i="27"/>
  <c r="G49" i="21" l="1"/>
  <c r="E48" i="21"/>
  <c r="E57" i="21" s="1"/>
  <c r="M57" i="21"/>
  <c r="M50" i="31"/>
  <c r="K115" i="21"/>
  <c r="J115" i="21"/>
  <c r="M115" i="21"/>
  <c r="I115" i="21"/>
  <c r="G115" i="21"/>
  <c r="L115" i="21"/>
  <c r="H115" i="21"/>
  <c r="K54" i="21"/>
  <c r="N54" i="21"/>
  <c r="N50" i="31" s="1"/>
  <c r="J54" i="21"/>
  <c r="L54" i="21"/>
  <c r="I54" i="21"/>
  <c r="H54" i="21"/>
  <c r="G54" i="21"/>
  <c r="E16" i="27"/>
  <c r="E50" i="31" l="1"/>
  <c r="M176" i="21"/>
  <c r="H57" i="21"/>
  <c r="H49" i="31" s="1"/>
  <c r="H50" i="31"/>
  <c r="E176" i="21"/>
  <c r="E49" i="31"/>
  <c r="I57" i="21"/>
  <c r="I50" i="31"/>
  <c r="J57" i="21"/>
  <c r="J50" i="31"/>
  <c r="G57" i="21"/>
  <c r="G49" i="31" s="1"/>
  <c r="G50" i="31"/>
  <c r="L57" i="21"/>
  <c r="L49" i="31" s="1"/>
  <c r="L50" i="31"/>
  <c r="K57" i="21"/>
  <c r="K49" i="31" s="1"/>
  <c r="K50" i="31"/>
  <c r="M49" i="31"/>
  <c r="N55" i="21"/>
  <c r="N57" i="21" s="1"/>
  <c r="N115" i="21"/>
  <c r="C115" i="21" s="1"/>
  <c r="K176" i="21" l="1"/>
  <c r="G176" i="21"/>
  <c r="J176" i="21"/>
  <c r="J49" i="31"/>
  <c r="I176" i="21"/>
  <c r="I49" i="31"/>
  <c r="N49" i="31"/>
  <c r="L176" i="21"/>
  <c r="H176" i="21"/>
  <c r="C57" i="21"/>
  <c r="N176" i="21"/>
  <c r="C176" i="21" l="1"/>
  <c r="D54" i="31" s="1"/>
  <c r="N90" i="31"/>
  <c r="N86" i="31"/>
  <c r="K92" i="31"/>
  <c r="N89" i="31"/>
</calcChain>
</file>

<file path=xl/sharedStrings.xml><?xml version="1.0" encoding="utf-8"?>
<sst xmlns="http://schemas.openxmlformats.org/spreadsheetml/2006/main" count="1679" uniqueCount="548">
  <si>
    <t xml:space="preserve">Building 1 </t>
    <phoneticPr fontId="4" type="noConversion"/>
  </si>
  <si>
    <t xml:space="preserve">Residential </t>
    <phoneticPr fontId="4" type="noConversion"/>
  </si>
  <si>
    <t>Office</t>
    <phoneticPr fontId="4" type="noConversion"/>
  </si>
  <si>
    <t xml:space="preserve">Retail </t>
    <phoneticPr fontId="4" type="noConversion"/>
  </si>
  <si>
    <t xml:space="preserve">sf/floor </t>
    <phoneticPr fontId="4" type="noConversion"/>
  </si>
  <si>
    <t>Building2</t>
    <phoneticPr fontId="4" type="noConversion"/>
  </si>
  <si>
    <t>Building 3</t>
  </si>
  <si>
    <t>Building 4</t>
  </si>
  <si>
    <t>Building 5</t>
  </si>
  <si>
    <t>Building 6</t>
  </si>
  <si>
    <t>Building 7</t>
  </si>
  <si>
    <t>Building 8</t>
  </si>
  <si>
    <t>Building 14</t>
  </si>
  <si>
    <t>Building 15</t>
  </si>
  <si>
    <t>Building 16</t>
  </si>
  <si>
    <t>Attached office</t>
    <phoneticPr fontId="4" type="noConversion"/>
  </si>
  <si>
    <t>Attached residential</t>
    <phoneticPr fontId="4" type="noConversion"/>
  </si>
  <si>
    <t>Attached retail</t>
    <phoneticPr fontId="4" type="noConversion"/>
  </si>
  <si>
    <t>Hotel</t>
    <phoneticPr fontId="4" type="noConversion"/>
  </si>
  <si>
    <t xml:space="preserve">Attached Parking </t>
    <phoneticPr fontId="4" type="noConversion"/>
  </si>
  <si>
    <t>Building 17</t>
  </si>
  <si>
    <t>Building 20</t>
  </si>
  <si>
    <t>Building 21</t>
  </si>
  <si>
    <t xml:space="preserve">Existing building </t>
    <phoneticPr fontId="4" type="noConversion"/>
  </si>
  <si>
    <t>Building 9</t>
    <phoneticPr fontId="4" type="noConversion"/>
  </si>
  <si>
    <t>Building 10</t>
    <phoneticPr fontId="4" type="noConversion"/>
  </si>
  <si>
    <t>Building 11</t>
    <phoneticPr fontId="4" type="noConversion"/>
  </si>
  <si>
    <t>Building 12</t>
    <phoneticPr fontId="4" type="noConversion"/>
  </si>
  <si>
    <t>Building13</t>
    <phoneticPr fontId="4" type="noConversion"/>
  </si>
  <si>
    <t>Building 18</t>
    <phoneticPr fontId="4" type="noConversion"/>
  </si>
  <si>
    <t>Building 19</t>
    <phoneticPr fontId="4" type="noConversion"/>
  </si>
  <si>
    <t>Building 22</t>
  </si>
  <si>
    <t>Building 23</t>
  </si>
  <si>
    <t>Building 24</t>
  </si>
  <si>
    <t>Building 25</t>
  </si>
  <si>
    <t xml:space="preserve">Community Center </t>
    <phoneticPr fontId="4" type="noConversion"/>
  </si>
  <si>
    <t xml:space="preserve">Additional Museum </t>
    <phoneticPr fontId="4" type="noConversion"/>
  </si>
  <si>
    <t xml:space="preserve">Existing museum </t>
    <phoneticPr fontId="4" type="noConversion"/>
  </si>
  <si>
    <t xml:space="preserve"> </t>
    <phoneticPr fontId="4" type="noConversion"/>
  </si>
  <si>
    <t>Building 26</t>
  </si>
  <si>
    <t>Building 27</t>
  </si>
  <si>
    <t>Building 28</t>
  </si>
  <si>
    <t>Building 29</t>
  </si>
  <si>
    <t>Building 30</t>
  </si>
  <si>
    <t xml:space="preserve">Buildings near the boradwalk </t>
    <phoneticPr fontId="4" type="noConversion"/>
  </si>
  <si>
    <t>Building 29</t>
    <phoneticPr fontId="4" type="noConversion"/>
  </si>
  <si>
    <t xml:space="preserve">residential </t>
    <phoneticPr fontId="4" type="noConversion"/>
  </si>
  <si>
    <t xml:space="preserve">third floor </t>
    <phoneticPr fontId="4" type="noConversion"/>
  </si>
  <si>
    <t xml:space="preserve">second floor </t>
    <phoneticPr fontId="4" type="noConversion"/>
  </si>
  <si>
    <t xml:space="preserve">ground floor </t>
    <phoneticPr fontId="4" type="noConversion"/>
  </si>
  <si>
    <t xml:space="preserve">Retail </t>
    <phoneticPr fontId="4" type="noConversion"/>
  </si>
  <si>
    <t>Office</t>
    <phoneticPr fontId="4" type="noConversion"/>
  </si>
  <si>
    <t>Building 30</t>
    <phoneticPr fontId="4" type="noConversion"/>
  </si>
  <si>
    <t xml:space="preserve">fourth floor </t>
    <phoneticPr fontId="4" type="noConversion"/>
  </si>
  <si>
    <t xml:space="preserve">thrid floor </t>
    <phoneticPr fontId="4" type="noConversion"/>
  </si>
  <si>
    <t xml:space="preserve">total </t>
    <phoneticPr fontId="4" type="noConversion"/>
  </si>
  <si>
    <t xml:space="preserve">residental </t>
    <phoneticPr fontId="4" type="noConversion"/>
  </si>
  <si>
    <t>retail</t>
    <phoneticPr fontId="4" type="noConversion"/>
  </si>
  <si>
    <t>office</t>
    <phoneticPr fontId="4" type="noConversion"/>
  </si>
  <si>
    <t>Building 31</t>
  </si>
  <si>
    <t>Building 32</t>
  </si>
  <si>
    <t>Building 33</t>
  </si>
  <si>
    <t>Building 32</t>
    <phoneticPr fontId="4" type="noConversion"/>
  </si>
  <si>
    <t xml:space="preserve">retail </t>
    <phoneticPr fontId="4" type="noConversion"/>
  </si>
  <si>
    <t xml:space="preserve">Building 33 </t>
    <phoneticPr fontId="4" type="noConversion"/>
  </si>
  <si>
    <t>Building 34</t>
  </si>
  <si>
    <t>Building 34</t>
    <phoneticPr fontId="4" type="noConversion"/>
  </si>
  <si>
    <t xml:space="preserve">Boradwalk average width </t>
    <phoneticPr fontId="4" type="noConversion"/>
  </si>
  <si>
    <t xml:space="preserve">107 ft </t>
    <phoneticPr fontId="4" type="noConversion"/>
  </si>
  <si>
    <t xml:space="preserve">Boradwalk length </t>
    <phoneticPr fontId="4" type="noConversion"/>
  </si>
  <si>
    <t xml:space="preserve">1700 ft </t>
    <phoneticPr fontId="4" type="noConversion"/>
  </si>
  <si>
    <t xml:space="preserve">requiremnt </t>
    <phoneticPr fontId="4" type="noConversion"/>
  </si>
  <si>
    <t xml:space="preserve">10 percent of new residential for affordable housing </t>
    <phoneticPr fontId="4" type="noConversion"/>
  </si>
  <si>
    <t>Total</t>
    <phoneticPr fontId="4" type="noConversion"/>
  </si>
  <si>
    <t xml:space="preserve">Existing developmenet </t>
    <phoneticPr fontId="4" type="noConversion"/>
  </si>
  <si>
    <t xml:space="preserve">Proposed Development </t>
    <phoneticPr fontId="4" type="noConversion"/>
  </si>
  <si>
    <t>hotel</t>
    <phoneticPr fontId="4" type="noConversion"/>
  </si>
  <si>
    <t>residential</t>
    <phoneticPr fontId="4" type="noConversion"/>
  </si>
  <si>
    <t xml:space="preserve">color coded </t>
    <phoneticPr fontId="4" type="noConversion"/>
  </si>
  <si>
    <t xml:space="preserve">public building </t>
    <phoneticPr fontId="4" type="noConversion"/>
  </si>
  <si>
    <t xml:space="preserve">minumum required affordable housing </t>
    <phoneticPr fontId="4" type="noConversion"/>
  </si>
  <si>
    <t xml:space="preserve">our proposal </t>
    <phoneticPr fontId="4" type="noConversion"/>
  </si>
  <si>
    <t xml:space="preserve">Potential Location for affordable housing </t>
    <phoneticPr fontId="4" type="noConversion"/>
  </si>
  <si>
    <t xml:space="preserve">GE building second story </t>
    <phoneticPr fontId="4" type="noConversion"/>
  </si>
  <si>
    <t xml:space="preserve">Existing building on east of Freedom Museum </t>
    <phoneticPr fontId="4" type="noConversion"/>
  </si>
  <si>
    <t xml:space="preserve">one story </t>
    <phoneticPr fontId="4" type="noConversion"/>
  </si>
  <si>
    <t xml:space="preserve">potentially two stories </t>
    <phoneticPr fontId="4" type="noConversion"/>
  </si>
  <si>
    <t>Building 26, 27, 28 Not included in our site</t>
    <phoneticPr fontId="4" type="noConversion"/>
  </si>
  <si>
    <t xml:space="preserve">we need to purchase this building </t>
  </si>
  <si>
    <t>Phase</t>
  </si>
  <si>
    <t>Number of stories</t>
  </si>
  <si>
    <t>Market-rate apartments</t>
  </si>
  <si>
    <t>Condominiums</t>
  </si>
  <si>
    <t>Affordable apartments</t>
  </si>
  <si>
    <t>Type</t>
  </si>
  <si>
    <t>Size</t>
  </si>
  <si>
    <t>Mix</t>
  </si>
  <si>
    <t>Micro units (yes/no)</t>
  </si>
  <si>
    <t>Affordable for-sale %</t>
  </si>
  <si>
    <t>Affordable for-rent %</t>
  </si>
  <si>
    <t>Yes</t>
  </si>
  <si>
    <t>Gross Residential SF</t>
  </si>
  <si>
    <t>PSF</t>
  </si>
  <si>
    <t>Premium</t>
  </si>
  <si>
    <t>Average Size</t>
  </si>
  <si>
    <t>Average Rate</t>
  </si>
  <si>
    <t>Residential</t>
  </si>
  <si>
    <t>Rent</t>
  </si>
  <si>
    <t>Sale PSF</t>
  </si>
  <si>
    <t>Gross PSF, month</t>
  </si>
  <si>
    <t>Office</t>
  </si>
  <si>
    <t>Expense reimbursements</t>
  </si>
  <si>
    <t>Market rate, net, PSF</t>
  </si>
  <si>
    <t>Item</t>
  </si>
  <si>
    <t>OFFICE</t>
  </si>
  <si>
    <t>RESIDENTIAL</t>
  </si>
  <si>
    <t>RETAIL</t>
  </si>
  <si>
    <t>Use</t>
  </si>
  <si>
    <t>PSF, NNN</t>
  </si>
  <si>
    <t>Expense reimbursement</t>
  </si>
  <si>
    <t>HOTEL</t>
  </si>
  <si>
    <t>Projected ADR</t>
  </si>
  <si>
    <t>Standard</t>
  </si>
  <si>
    <t>Ancillary revenues</t>
  </si>
  <si>
    <t>Opex</t>
  </si>
  <si>
    <t>Margin %</t>
  </si>
  <si>
    <t>Food &amp; beverage</t>
  </si>
  <si>
    <t>Other</t>
  </si>
  <si>
    <t>% of room revenue</t>
  </si>
  <si>
    <t>Room revenues</t>
  </si>
  <si>
    <t>Profit margin</t>
  </si>
  <si>
    <t>Parking</t>
  </si>
  <si>
    <t>PARKING</t>
  </si>
  <si>
    <t>Daily rate</t>
  </si>
  <si>
    <t>Daily users, %</t>
  </si>
  <si>
    <t>Monthly rate</t>
  </si>
  <si>
    <t>Monthly users, %</t>
  </si>
  <si>
    <t>Community center</t>
  </si>
  <si>
    <t>Daily visitors</t>
  </si>
  <si>
    <t>Annual visitors</t>
  </si>
  <si>
    <t>Museum</t>
  </si>
  <si>
    <t>Residential, affordable</t>
  </si>
  <si>
    <t>Retail</t>
  </si>
  <si>
    <t>Retail, grocery store</t>
  </si>
  <si>
    <t>Retail, gym</t>
  </si>
  <si>
    <t>Hotel</t>
  </si>
  <si>
    <t>PUBLIC CENTERS</t>
  </si>
  <si>
    <t>Hotel, food and beverage</t>
  </si>
  <si>
    <t>Hotel, other</t>
  </si>
  <si>
    <t>Public centers, community center</t>
  </si>
  <si>
    <t>Public centers, museum</t>
  </si>
  <si>
    <t>OPEX</t>
  </si>
  <si>
    <t>VACANCY / LEASE-UP</t>
  </si>
  <si>
    <t>Stabilization period</t>
  </si>
  <si>
    <t>Stabilization vacancy</t>
  </si>
  <si>
    <t>Ramp up / year, %</t>
  </si>
  <si>
    <t>Construction</t>
  </si>
  <si>
    <t>Residential, condominiums</t>
  </si>
  <si>
    <t>Developer fee</t>
  </si>
  <si>
    <t xml:space="preserve">Low </t>
  </si>
  <si>
    <t>High</t>
  </si>
  <si>
    <t>Construction time, years</t>
  </si>
  <si>
    <t>BELOW THE LINE</t>
  </si>
  <si>
    <t>Leasing commissions</t>
  </si>
  <si>
    <t>CONSTRUCTION / DEVELOPMENT</t>
  </si>
  <si>
    <t>Residential, market-rate</t>
  </si>
  <si>
    <t>Retail, lifestyle / experiential</t>
  </si>
  <si>
    <t>Income</t>
  </si>
  <si>
    <t>Net operating income</t>
  </si>
  <si>
    <t>CapEx</t>
  </si>
  <si>
    <t>Unlevered free cash flow</t>
  </si>
  <si>
    <t>Construction costs</t>
  </si>
  <si>
    <t>Construction financing</t>
  </si>
  <si>
    <t>Permanent financing</t>
  </si>
  <si>
    <t>Levered free cash flow</t>
  </si>
  <si>
    <t>CAP RATES</t>
  </si>
  <si>
    <t>Year</t>
  </si>
  <si>
    <t>Inflation</t>
  </si>
  <si>
    <t>INFLATION / GROWTH</t>
  </si>
  <si>
    <t>End, year</t>
  </si>
  <si>
    <t>Open for business, year</t>
  </si>
  <si>
    <t>Lease-up</t>
  </si>
  <si>
    <t>Cumulative occupied space</t>
  </si>
  <si>
    <t>Square feet, completed, gross</t>
  </si>
  <si>
    <t>Margin % or PSF</t>
  </si>
  <si>
    <t>Leasing Commissions</t>
  </si>
  <si>
    <t>SALES / CLOSING COSTS</t>
  </si>
  <si>
    <t>Disposition year</t>
  </si>
  <si>
    <t>Closing costs</t>
  </si>
  <si>
    <t>Year 0 Cap rates</t>
  </si>
  <si>
    <t>Exit cap rate</t>
  </si>
  <si>
    <t>Common Area Factor</t>
  </si>
  <si>
    <t>Common area factor</t>
  </si>
  <si>
    <t>LAST COLUMN</t>
  </si>
  <si>
    <t>OpEx</t>
  </si>
  <si>
    <t>Square feet, rentable</t>
  </si>
  <si>
    <t>Capital costs</t>
  </si>
  <si>
    <t>Investments</t>
  </si>
  <si>
    <t>Asset sale, net</t>
  </si>
  <si>
    <t>Drivers</t>
  </si>
  <si>
    <t>Phase open</t>
  </si>
  <si>
    <t>Total</t>
  </si>
  <si>
    <t>Premium weight</t>
  </si>
  <si>
    <t>Rents / sales</t>
  </si>
  <si>
    <t>PREMIUM BOOSTS</t>
  </si>
  <si>
    <t>Phase begin</t>
  </si>
  <si>
    <t>Phase end</t>
  </si>
  <si>
    <t>Rooms</t>
  </si>
  <si>
    <t>Bedrooms</t>
  </si>
  <si>
    <t>.5 per room</t>
  </si>
  <si>
    <t>Measurement</t>
  </si>
  <si>
    <t>Per</t>
  </si>
  <si>
    <t>Room</t>
  </si>
  <si>
    <t>-</t>
  </si>
  <si>
    <t>Average total size</t>
  </si>
  <si>
    <t>Total Gross</t>
  </si>
  <si>
    <t>Total Rentable</t>
  </si>
  <si>
    <t>Average room size</t>
  </si>
  <si>
    <t>CAM reimbursement</t>
  </si>
  <si>
    <t>Investment horizon</t>
  </si>
  <si>
    <t>Condominium costs per sale</t>
  </si>
  <si>
    <t>Phase 1</t>
  </si>
  <si>
    <t>Phase 2</t>
  </si>
  <si>
    <t>hotel</t>
  </si>
  <si>
    <t>retail</t>
  </si>
  <si>
    <t>Y</t>
  </si>
  <si>
    <t>office</t>
  </si>
  <si>
    <t>Total SF</t>
  </si>
  <si>
    <t>%</t>
  </si>
  <si>
    <t>Blended rate</t>
  </si>
  <si>
    <t>Total Rentable SF</t>
  </si>
  <si>
    <t>Total no. of rooms</t>
  </si>
  <si>
    <t>Projected revenue</t>
  </si>
  <si>
    <t>Rooms for rent</t>
  </si>
  <si>
    <t>Food &amp; beverage,net</t>
  </si>
  <si>
    <t>Other,net</t>
  </si>
  <si>
    <t>Room income</t>
  </si>
  <si>
    <t>Name</t>
  </si>
  <si>
    <t>Rents</t>
  </si>
  <si>
    <t>Purchase cap</t>
  </si>
  <si>
    <t>Projected value</t>
  </si>
  <si>
    <t>Yard house</t>
  </si>
  <si>
    <t>Lease type</t>
  </si>
  <si>
    <t>Net</t>
  </si>
  <si>
    <t>Land (acres)</t>
  </si>
  <si>
    <t>Land (sf)</t>
  </si>
  <si>
    <t>Building (sf)</t>
  </si>
  <si>
    <t>Demolition</t>
  </si>
  <si>
    <t>Demolition cost</t>
  </si>
  <si>
    <t>Surface lot</t>
  </si>
  <si>
    <t>Existing building</t>
  </si>
  <si>
    <t>-use land contribution, including FWW, to increase financing funds</t>
  </si>
  <si>
    <t>Owner</t>
  </si>
  <si>
    <t>Spirits</t>
  </si>
  <si>
    <t>Dixie Terminal Corporation</t>
  </si>
  <si>
    <t>Great American Insurance Group</t>
  </si>
  <si>
    <t>Description</t>
  </si>
  <si>
    <t>North of FWW for buildings 26-28</t>
  </si>
  <si>
    <t xml:space="preserve">Office </t>
  </si>
  <si>
    <t>Acquisitions price</t>
  </si>
  <si>
    <t>Morlein Lager House</t>
  </si>
  <si>
    <t>Carousal</t>
  </si>
  <si>
    <t>City of Cincinnati</t>
  </si>
  <si>
    <t>Repurpose</t>
  </si>
  <si>
    <t>Ruth Chris's</t>
  </si>
  <si>
    <t>NIC Riverbanks</t>
  </si>
  <si>
    <t>N</t>
  </si>
  <si>
    <t>Cost of sale, condominiums</t>
  </si>
  <si>
    <t>Condo units available for sale</t>
  </si>
  <si>
    <t>Condo units sold</t>
  </si>
  <si>
    <t>Cost of sales</t>
  </si>
  <si>
    <t>DEMOLITION / REPUROSE</t>
  </si>
  <si>
    <t>Existing use</t>
  </si>
  <si>
    <t>NOI</t>
  </si>
  <si>
    <t>Estimated NOI</t>
  </si>
  <si>
    <t>Square feet, constructed, gross</t>
  </si>
  <si>
    <t>Square feet, repurposement, gross</t>
  </si>
  <si>
    <t>Acquisitions / demolition costs</t>
  </si>
  <si>
    <t>Total cost</t>
  </si>
  <si>
    <t>Repurposement cost</t>
  </si>
  <si>
    <t>Repurpose costs</t>
  </si>
  <si>
    <t>n/a</t>
  </si>
  <si>
    <t>Repurpose use</t>
  </si>
  <si>
    <t>public space</t>
  </si>
  <si>
    <t>Column1</t>
  </si>
  <si>
    <t>`</t>
  </si>
  <si>
    <t>Public buildings</t>
  </si>
  <si>
    <t>public buildings</t>
  </si>
  <si>
    <t>Other income</t>
  </si>
  <si>
    <t>Gift shop &amp; other</t>
  </si>
  <si>
    <t>per day</t>
  </si>
  <si>
    <t>Entrace fees</t>
  </si>
  <si>
    <t>Fee / visitor</t>
  </si>
  <si>
    <t>Gift shop and other income</t>
  </si>
  <si>
    <t>Hourly staff</t>
  </si>
  <si>
    <t>Hours / day</t>
  </si>
  <si>
    <t>$ / hour</t>
  </si>
  <si>
    <t xml:space="preserve">Days </t>
  </si>
  <si>
    <t>Salaries staff</t>
  </si>
  <si>
    <t>Salary</t>
  </si>
  <si>
    <t>Annual total</t>
  </si>
  <si>
    <t>OpEx / year</t>
  </si>
  <si>
    <t>OpEx / month</t>
  </si>
  <si>
    <t>Infastructure</t>
  </si>
  <si>
    <t>Public building</t>
  </si>
  <si>
    <t>Boardwalk</t>
  </si>
  <si>
    <t>Landscaping</t>
  </si>
  <si>
    <t>Market center</t>
  </si>
  <si>
    <t>north of existing museum, flexible tent / event space</t>
  </si>
  <si>
    <t>Assignment</t>
  </si>
  <si>
    <t>FWW</t>
  </si>
  <si>
    <t>FWW reenforcement</t>
  </si>
  <si>
    <t xml:space="preserve">Freedom way </t>
  </si>
  <si>
    <t>Improved streetscape</t>
  </si>
  <si>
    <t>Rosa Parks St</t>
  </si>
  <si>
    <t>Mart Spencer Way</t>
  </si>
  <si>
    <t>Second street</t>
  </si>
  <si>
    <t>Third street</t>
  </si>
  <si>
    <t>Measurement type</t>
  </si>
  <si>
    <t>Lump sum</t>
  </si>
  <si>
    <t>Entire site</t>
  </si>
  <si>
    <t>Price / measurement</t>
  </si>
  <si>
    <t>Park</t>
  </si>
  <si>
    <t>Concert area</t>
  </si>
  <si>
    <t>Surface area, PSF</t>
  </si>
  <si>
    <t>Theodore M. Bary Way</t>
  </si>
  <si>
    <t>Phase 3</t>
  </si>
  <si>
    <t>Water island / channel</t>
  </si>
  <si>
    <t>Total NOI</t>
  </si>
  <si>
    <t>Total capital costs</t>
  </si>
  <si>
    <t>Total Investments</t>
  </si>
  <si>
    <t>residential, market-rate</t>
  </si>
  <si>
    <t>Sf / floor</t>
  </si>
  <si>
    <t>% share</t>
  </si>
  <si>
    <t>demo building</t>
  </si>
  <si>
    <t>demo surface lot</t>
  </si>
  <si>
    <t>demolition</t>
  </si>
  <si>
    <t>parking</t>
  </si>
  <si>
    <t>apartments</t>
  </si>
  <si>
    <t>the banks</t>
  </si>
  <si>
    <t>first hour $3, max at $10</t>
  </si>
  <si>
    <t>monthly rate</t>
  </si>
  <si>
    <t>138 psf</t>
  </si>
  <si>
    <t>per acres</t>
  </si>
  <si>
    <t>Land acquisition</t>
  </si>
  <si>
    <t>vacancy</t>
  </si>
  <si>
    <t>CBD</t>
  </si>
  <si>
    <t>margin</t>
  </si>
  <si>
    <t>EBITDA</t>
  </si>
  <si>
    <t>stars</t>
  </si>
  <si>
    <t>4 stars</t>
  </si>
  <si>
    <t>ADR</t>
  </si>
  <si>
    <t>occupancy</t>
  </si>
  <si>
    <t>affordable condos</t>
  </si>
  <si>
    <t>market research, zillow</t>
  </si>
  <si>
    <t>per sq</t>
  </si>
  <si>
    <t xml:space="preserve">low, consider </t>
  </si>
  <si>
    <t>costar</t>
  </si>
  <si>
    <t>Condo sales</t>
  </si>
  <si>
    <t>misc.</t>
  </si>
  <si>
    <t>affordable</t>
  </si>
  <si>
    <t>market-rate</t>
  </si>
  <si>
    <t>Apartments</t>
  </si>
  <si>
    <t>FWW ventilation</t>
  </si>
  <si>
    <t>FWW reinforcements</t>
  </si>
  <si>
    <t>FWW decks</t>
  </si>
  <si>
    <t>costar, JLL industrial reports</t>
  </si>
  <si>
    <t>roads / right of way improvements</t>
  </si>
  <si>
    <t>Lifestyle</t>
  </si>
  <si>
    <t>Kroger</t>
  </si>
  <si>
    <t>psf</t>
  </si>
  <si>
    <t>landscaping</t>
  </si>
  <si>
    <t>grocery stores</t>
  </si>
  <si>
    <t>restaurants</t>
  </si>
  <si>
    <t>TI</t>
  </si>
  <si>
    <t>% profit shrae</t>
  </si>
  <si>
    <t>NNN</t>
  </si>
  <si>
    <t>TIF</t>
  </si>
  <si>
    <t xml:space="preserve">List of demands </t>
  </si>
  <si>
    <t xml:space="preserve">-morlein yager house, lease expires dec 2019, then repurpose building </t>
  </si>
  <si>
    <t>=-demo yard houes</t>
  </si>
  <si>
    <t>-ground less land from city</t>
  </si>
  <si>
    <t>-public-private partnership agreeing to gift land for free with understanding that developer will build out major infastructure projects</t>
  </si>
  <si>
    <t>Narrative</t>
  </si>
  <si>
    <t>-boardwalk as FRONTIER</t>
  </si>
  <si>
    <t>-identify all land we are using as "developable parcels"</t>
  </si>
  <si>
    <t xml:space="preserve">-demolition costs are the same regardless of building size </t>
  </si>
  <si>
    <t>-inflation rate at 2% / year</t>
  </si>
  <si>
    <t>-plan ot address onsite stormwater</t>
  </si>
  <si>
    <t>-EACH phase must include 10% affordable units</t>
  </si>
  <si>
    <t>Notes</t>
  </si>
  <si>
    <t>Total SF, gross</t>
  </si>
  <si>
    <t>\</t>
  </si>
  <si>
    <t>3-story Ruth's Chris portion only, to be converted to incubator space</t>
  </si>
  <si>
    <t>To be demolished to construct cultural center</t>
  </si>
  <si>
    <t>To be repurposed for board walk retail</t>
  </si>
  <si>
    <t>To be demolished for board walk construction</t>
  </si>
  <si>
    <t>SF / acre</t>
  </si>
  <si>
    <t>Acquisitions, demolitions, repurposements</t>
  </si>
  <si>
    <t>-address parking in sunken lots</t>
  </si>
  <si>
    <t>-sources and uses</t>
  </si>
  <si>
    <t>Average space size</t>
  </si>
  <si>
    <t>Efficiency</t>
  </si>
  <si>
    <t>Occupancy</t>
  </si>
  <si>
    <t>Parking spaces, rented</t>
  </si>
  <si>
    <t>Average $ / space / month</t>
  </si>
  <si>
    <t>Parking, total spaces</t>
  </si>
  <si>
    <t>Begin, year</t>
  </si>
  <si>
    <t>Stablization year, programs</t>
  </si>
  <si>
    <t>SF, program</t>
  </si>
  <si>
    <t>%, share, marketeable</t>
  </si>
  <si>
    <t>Blended cap rate</t>
  </si>
  <si>
    <t>BLENDED CAP RATE, refi</t>
  </si>
  <si>
    <t>Loan amount</t>
  </si>
  <si>
    <t>Equity requirement</t>
  </si>
  <si>
    <t>Interest only</t>
  </si>
  <si>
    <t>Interest rate</t>
  </si>
  <si>
    <t>Servicing costs</t>
  </si>
  <si>
    <t>Stabilized NOI</t>
  </si>
  <si>
    <t>Refi / blended cap rate</t>
  </si>
  <si>
    <t>Loan to cost</t>
  </si>
  <si>
    <t>Loan to value</t>
  </si>
  <si>
    <t>Amortization schedule</t>
  </si>
  <si>
    <t>Available reinvestmnet funds</t>
  </si>
  <si>
    <t>Financing</t>
  </si>
  <si>
    <t>Interest expense</t>
  </si>
  <si>
    <t>Debt repayment</t>
  </si>
  <si>
    <t>CONSTRUCTION COSTS*</t>
  </si>
  <si>
    <t>*do not include developer fee</t>
  </si>
  <si>
    <t>No</t>
  </si>
  <si>
    <t>Loan proceeds</t>
  </si>
  <si>
    <t>Required  funding</t>
  </si>
  <si>
    <t>Ending
Balance</t>
  </si>
  <si>
    <t>Interest</t>
  </si>
  <si>
    <t>Principal</t>
  </si>
  <si>
    <t>Payment</t>
  </si>
  <si>
    <t>Beginning
Balance</t>
  </si>
  <si>
    <t>No.</t>
  </si>
  <si>
    <t>Total cost of loan</t>
  </si>
  <si>
    <t>Total interest</t>
  </si>
  <si>
    <t>Number of payments</t>
  </si>
  <si>
    <t>Monthly payment</t>
  </si>
  <si>
    <t>Start date of loan</t>
  </si>
  <si>
    <t>Loan period in years</t>
  </si>
  <si>
    <t>Annual interest rate</t>
  </si>
  <si>
    <t>Enter values</t>
  </si>
  <si>
    <t>Simple Loan Calculator</t>
  </si>
  <si>
    <t>Phase Open</t>
  </si>
  <si>
    <t>Balance at disposition</t>
  </si>
  <si>
    <t>Disposition period</t>
  </si>
  <si>
    <t>Debt service</t>
  </si>
  <si>
    <t>Annual debt service</t>
  </si>
  <si>
    <t>Servicing fees</t>
  </si>
  <si>
    <t>Intereset rate</t>
  </si>
  <si>
    <t>Servicing fes</t>
  </si>
  <si>
    <t>Levered analysis</t>
  </si>
  <si>
    <t>All</t>
  </si>
  <si>
    <t>Unlevered free cash flows</t>
  </si>
  <si>
    <t>Levered free cash flows</t>
  </si>
  <si>
    <t>FINANCING ASSUMPTIONS</t>
  </si>
  <si>
    <t>Apply to:</t>
  </si>
  <si>
    <t>x</t>
  </si>
  <si>
    <t>Total Development Costs</t>
  </si>
  <si>
    <t>Total Infrastructure Costs</t>
  </si>
  <si>
    <t>Acquisition Taxes and Fees</t>
  </si>
  <si>
    <t>Other Amenities</t>
  </si>
  <si>
    <t>Other Hardscaping (not incl. surf. pkg.)</t>
  </si>
  <si>
    <t>Utilities</t>
  </si>
  <si>
    <t>Roads</t>
  </si>
  <si>
    <t>Private</t>
  </si>
  <si>
    <t>Public</t>
  </si>
  <si>
    <t>Infrastructure Costs</t>
  </si>
  <si>
    <t>($ per space)</t>
  </si>
  <si>
    <t>Surface Parking</t>
  </si>
  <si>
    <t>Structured Parking</t>
  </si>
  <si>
    <t>($ per room)</t>
  </si>
  <si>
    <t>Financing Sources (total)</t>
  </si>
  <si>
    <t>($ per s.f.)</t>
  </si>
  <si>
    <t>Retail (ALL)</t>
  </si>
  <si>
    <t>Office/Commercial</t>
  </si>
  <si>
    <t>($ per unit)</t>
  </si>
  <si>
    <t>For-Sale Housing</t>
  </si>
  <si>
    <t>Rental Housing</t>
  </si>
  <si>
    <t>Affordable</t>
  </si>
  <si>
    <t>Workforce</t>
  </si>
  <si>
    <t>Equity Sources (total)</t>
  </si>
  <si>
    <t>Market-rate</t>
  </si>
  <si>
    <t>Amount</t>
  </si>
  <si>
    <t>Total Costs</t>
  </si>
  <si>
    <t>Unit Cost</t>
  </si>
  <si>
    <t>Development Costs</t>
  </si>
  <si>
    <t>4. Equity and Financing Sources</t>
  </si>
  <si>
    <t>3. Unit Development and Infrastructure Costs</t>
  </si>
  <si>
    <t>(s.f.)</t>
  </si>
  <si>
    <t>Affordable Retail</t>
  </si>
  <si>
    <t>Market-rate Retail</t>
  </si>
  <si>
    <t>Project Buildout by Area</t>
  </si>
  <si>
    <t>(spaces)</t>
  </si>
  <si>
    <t>(rooms)</t>
  </si>
  <si>
    <t>(units)</t>
  </si>
  <si>
    <t>Project Buildout by Development Units</t>
  </si>
  <si>
    <t>Total Buildout</t>
  </si>
  <si>
    <t>Year-by-Year Cumulative Absorption</t>
  </si>
  <si>
    <t>2. Multiyear Development Program</t>
  </si>
  <si>
    <t>Projected Site Value (end of Year 10)</t>
  </si>
  <si>
    <t>Leveraged IRR Before Taxes</t>
  </si>
  <si>
    <t>Current Site Value (start of Year 0)</t>
  </si>
  <si>
    <t>Unleveraged IRR Before Taxes</t>
  </si>
  <si>
    <t>Loan to Value Ratio (LVR)</t>
  </si>
  <si>
    <t>Net Present Value</t>
  </si>
  <si>
    <t>Debt Service</t>
  </si>
  <si>
    <t>Leveraged Net Cash Flow</t>
  </si>
  <si>
    <t>Net Cash Flow</t>
  </si>
  <si>
    <t>Total Costs of Sale</t>
  </si>
  <si>
    <t xml:space="preserve">Total Asset Value </t>
  </si>
  <si>
    <t>Net Operating Income</t>
  </si>
  <si>
    <t>Annual Cash Flow</t>
  </si>
  <si>
    <t>Indirect costs</t>
  </si>
  <si>
    <t>Total Infrastructure</t>
  </si>
  <si>
    <t>Land Acquisition</t>
  </si>
  <si>
    <t>Underground Parking</t>
  </si>
  <si>
    <t>Total Income</t>
  </si>
  <si>
    <t>Income from Sales Proceeds</t>
  </si>
  <si>
    <t>Total Net Operating Income</t>
  </si>
  <si>
    <t>Development Fees</t>
  </si>
  <si>
    <t>Remediation</t>
  </si>
  <si>
    <t xml:space="preserve">Net Operating Income </t>
  </si>
  <si>
    <t>Phase I</t>
  </si>
  <si>
    <t>Team</t>
  </si>
  <si>
    <t>Discount rate</t>
  </si>
  <si>
    <t>Cincinnatii United Development Fund</t>
  </si>
  <si>
    <t>Phase II</t>
  </si>
  <si>
    <t>Phase III</t>
  </si>
  <si>
    <t>stormwater, utilities, etc</t>
  </si>
  <si>
    <t>Loan amount, up to</t>
  </si>
  <si>
    <t>Construction to mini-perm loan</t>
  </si>
  <si>
    <t>Permanent loan</t>
  </si>
  <si>
    <t>w</t>
  </si>
  <si>
    <t>l</t>
  </si>
  <si>
    <t>population</t>
  </si>
  <si>
    <t>growth</t>
  </si>
  <si>
    <t>unemployment</t>
  </si>
  <si>
    <t>22% of the households in the metro do not have a vehicle</t>
  </si>
  <si>
    <t>Futhermore, approximately 50% of the households within the CBD do own or lease a vehicle</t>
  </si>
  <si>
    <t xml:space="preserve">Additionally, the state of Ohio ranked in the top half of the country in terms of year-over-year wage growth from 2017-2018. </t>
  </si>
  <si>
    <t>1. Cincinnati United: Summary Pro Forma</t>
  </si>
  <si>
    <t>% of costs</t>
  </si>
  <si>
    <t>% of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</si>
</sst>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</numFmts>
  <fonts count="5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00FF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7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134"/>
      <scheme val="minor"/>
    </font>
    <font>
      <i/>
      <sz val="6"/>
      <color theme="1"/>
      <name val="Calibri"/>
      <family val="2"/>
      <scheme val="minor"/>
    </font>
    <font>
      <sz val="11"/>
      <color theme="0"/>
      <name val="Calibri"/>
      <family val="2"/>
      <charset val="134"/>
      <scheme val="minor"/>
    </font>
    <font>
      <sz val="7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charset val="134"/>
      <scheme val="minor"/>
    </font>
    <font>
      <sz val="8"/>
      <color theme="0"/>
      <name val="Calibri"/>
      <family val="2"/>
      <charset val="134"/>
      <scheme val="minor"/>
    </font>
    <font>
      <sz val="7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0"/>
      <name val="Calibri"/>
      <family val="2"/>
      <charset val="134"/>
      <scheme val="minor"/>
    </font>
    <font>
      <i/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1"/>
      <name val="Calibri"/>
      <family val="2"/>
      <scheme val="minor"/>
    </font>
    <font>
      <sz val="16"/>
      <name val="Calibri Light"/>
      <family val="2"/>
      <scheme val="major"/>
    </font>
    <font>
      <sz val="11"/>
      <color rgb="FF0000FF"/>
      <name val="Calibri"/>
      <family val="2"/>
      <charset val="134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 Narrow"/>
      <family val="2"/>
    </font>
    <font>
      <b/>
      <sz val="10"/>
      <color indexed="9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 style="hair">
        <color rgb="FF7F7F7F"/>
      </right>
      <top/>
      <bottom/>
      <diagonal/>
    </border>
    <border>
      <left/>
      <right/>
      <top style="hair">
        <color theme="1" tint="0.499984740745262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7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>
      <alignment horizontal="right"/>
    </xf>
    <xf numFmtId="44" fontId="42" fillId="0" borderId="0" applyFont="0" applyFill="0" applyBorder="0" applyAlignment="0" applyProtection="0"/>
    <xf numFmtId="14" fontId="42" fillId="0" borderId="0" applyFont="0" applyFill="0" applyBorder="0">
      <alignment horizontal="right"/>
    </xf>
    <xf numFmtId="1" fontId="42" fillId="0" borderId="0" applyFont="0" applyFill="0" applyBorder="0" applyProtection="0">
      <alignment horizontal="right"/>
    </xf>
    <xf numFmtId="0" fontId="42" fillId="0" borderId="0" applyNumberFormat="0" applyFont="0" applyFill="0" applyBorder="0" applyProtection="0">
      <alignment horizontal="center" wrapText="1"/>
    </xf>
    <xf numFmtId="0" fontId="42" fillId="0" borderId="0" applyNumberFormat="0" applyFont="0" applyFill="0" applyBorder="0" applyProtection="0">
      <alignment horizontal="left" indent="5"/>
    </xf>
    <xf numFmtId="10" fontId="42" fillId="0" borderId="0" applyFont="0" applyFill="0" applyBorder="0" applyAlignment="0" applyProtection="0"/>
    <xf numFmtId="0" fontId="42" fillId="0" borderId="0" applyNumberFormat="0" applyFill="0" applyProtection="0">
      <alignment horizontal="right" indent="1"/>
    </xf>
    <xf numFmtId="0" fontId="43" fillId="0" borderId="30" applyNumberFormat="0" applyFill="0" applyProtection="0">
      <alignment horizontal="left"/>
    </xf>
    <xf numFmtId="0" fontId="46" fillId="0" borderId="0"/>
  </cellStyleXfs>
  <cellXfs count="63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3" fillId="5" borderId="0" xfId="0" applyFont="1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0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164" fontId="8" fillId="0" borderId="0" xfId="1" applyNumberFormat="1" applyFont="1">
      <alignment vertical="center"/>
    </xf>
    <xf numFmtId="164" fontId="0" fillId="0" borderId="0" xfId="1" applyNumberFormat="1" applyFont="1">
      <alignment vertical="center"/>
    </xf>
    <xf numFmtId="164" fontId="6" fillId="3" borderId="0" xfId="1" applyNumberFormat="1" applyFont="1" applyFill="1">
      <alignment vertical="center"/>
    </xf>
    <xf numFmtId="164" fontId="0" fillId="3" borderId="0" xfId="0" applyNumberFormat="1" applyFill="1">
      <alignment vertical="center"/>
    </xf>
    <xf numFmtId="164" fontId="9" fillId="10" borderId="0" xfId="1" applyNumberFormat="1" applyFont="1" applyFill="1">
      <alignment vertical="center"/>
    </xf>
    <xf numFmtId="164" fontId="9" fillId="11" borderId="0" xfId="1" applyNumberFormat="1" applyFont="1" applyFill="1">
      <alignment vertical="center"/>
    </xf>
    <xf numFmtId="164" fontId="9" fillId="12" borderId="0" xfId="1" applyNumberFormat="1" applyFont="1" applyFill="1">
      <alignment vertical="center"/>
    </xf>
    <xf numFmtId="164" fontId="9" fillId="13" borderId="0" xfId="1" applyNumberFormat="1" applyFont="1" applyFill="1">
      <alignment vertical="center"/>
    </xf>
    <xf numFmtId="164" fontId="0" fillId="13" borderId="0" xfId="1" applyNumberFormat="1" applyFont="1" applyFill="1">
      <alignment vertical="center"/>
    </xf>
    <xf numFmtId="164" fontId="0" fillId="11" borderId="0" xfId="1" applyNumberFormat="1" applyFont="1" applyFill="1">
      <alignment vertical="center"/>
    </xf>
    <xf numFmtId="164" fontId="0" fillId="10" borderId="0" xfId="1" applyNumberFormat="1" applyFont="1" applyFill="1">
      <alignment vertical="center"/>
    </xf>
    <xf numFmtId="164" fontId="0" fillId="12" borderId="0" xfId="1" applyNumberFormat="1" applyFont="1" applyFill="1">
      <alignment vertical="center"/>
    </xf>
    <xf numFmtId="164" fontId="0" fillId="14" borderId="0" xfId="1" applyNumberFormat="1" applyFont="1" applyFill="1">
      <alignment vertical="center"/>
    </xf>
    <xf numFmtId="164" fontId="9" fillId="14" borderId="0" xfId="1" applyNumberFormat="1" applyFont="1" applyFill="1">
      <alignment vertical="center"/>
    </xf>
    <xf numFmtId="164" fontId="0" fillId="14" borderId="0" xfId="0" applyNumberFormat="1" applyFill="1">
      <alignment vertical="center"/>
    </xf>
    <xf numFmtId="164" fontId="0" fillId="10" borderId="0" xfId="0" applyNumberFormat="1" applyFill="1">
      <alignment vertical="center"/>
    </xf>
    <xf numFmtId="164" fontId="0" fillId="11" borderId="0" xfId="0" applyNumberFormat="1" applyFill="1">
      <alignment vertical="center"/>
    </xf>
    <xf numFmtId="164" fontId="0" fillId="12" borderId="0" xfId="0" applyNumberFormat="1" applyFill="1">
      <alignment vertical="center"/>
    </xf>
    <xf numFmtId="164" fontId="0" fillId="13" borderId="0" xfId="0" applyNumberFormat="1" applyFill="1">
      <alignment vertical="center"/>
    </xf>
    <xf numFmtId="9" fontId="0" fillId="0" borderId="0" xfId="0" applyNumberFormat="1">
      <alignment vertical="center"/>
    </xf>
    <xf numFmtId="164" fontId="6" fillId="3" borderId="0" xfId="0" applyNumberFormat="1" applyFont="1" applyFill="1">
      <alignment vertical="center"/>
    </xf>
    <xf numFmtId="164" fontId="0" fillId="0" borderId="0" xfId="0" applyNumberFormat="1">
      <alignment vertical="center"/>
    </xf>
    <xf numFmtId="0" fontId="10" fillId="0" borderId="0" xfId="0" applyFont="1">
      <alignment vertical="center"/>
    </xf>
    <xf numFmtId="0" fontId="0" fillId="15" borderId="0" xfId="0" applyFill="1">
      <alignment vertical="center"/>
    </xf>
    <xf numFmtId="164" fontId="9" fillId="16" borderId="0" xfId="1" applyNumberFormat="1" applyFont="1" applyFill="1">
      <alignment vertical="center"/>
    </xf>
    <xf numFmtId="0" fontId="0" fillId="12" borderId="0" xfId="0" applyFill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center" vertical="center"/>
    </xf>
    <xf numFmtId="9" fontId="15" fillId="0" borderId="0" xfId="0" applyNumberFormat="1" applyFont="1">
      <alignment vertical="center"/>
    </xf>
    <xf numFmtId="43" fontId="11" fillId="0" borderId="0" xfId="0" applyNumberFormat="1" applyFont="1">
      <alignment vertical="center"/>
    </xf>
    <xf numFmtId="0" fontId="11" fillId="0" borderId="0" xfId="0" applyFont="1" applyFill="1">
      <alignment vertical="center"/>
    </xf>
    <xf numFmtId="0" fontId="12" fillId="0" borderId="0" xfId="0" applyFont="1">
      <alignment vertical="center"/>
    </xf>
    <xf numFmtId="9" fontId="16" fillId="0" borderId="0" xfId="3" applyFont="1" applyAlignment="1">
      <alignment vertical="center"/>
    </xf>
    <xf numFmtId="164" fontId="16" fillId="0" borderId="0" xfId="1" applyNumberFormat="1" applyFont="1">
      <alignment vertical="center"/>
    </xf>
    <xf numFmtId="164" fontId="16" fillId="0" borderId="0" xfId="1" applyNumberFormat="1" applyFont="1" applyAlignment="1">
      <alignment vertical="center"/>
    </xf>
    <xf numFmtId="43" fontId="11" fillId="0" borderId="0" xfId="1" applyFont="1">
      <alignment vertical="center"/>
    </xf>
    <xf numFmtId="44" fontId="11" fillId="0" borderId="0" xfId="2" applyFont="1" applyAlignment="1">
      <alignment vertical="center"/>
    </xf>
    <xf numFmtId="0" fontId="14" fillId="0" borderId="0" xfId="0" applyFont="1" applyFill="1" applyAlignment="1">
      <alignment vertical="center"/>
    </xf>
    <xf numFmtId="164" fontId="11" fillId="0" borderId="0" xfId="0" applyNumberFormat="1" applyFont="1" applyFill="1">
      <alignment vertical="center"/>
    </xf>
    <xf numFmtId="167" fontId="11" fillId="0" borderId="0" xfId="2" applyNumberFormat="1" applyFont="1" applyAlignment="1">
      <alignment vertical="center"/>
    </xf>
    <xf numFmtId="0" fontId="11" fillId="19" borderId="0" xfId="0" applyFont="1" applyFill="1">
      <alignment vertical="center"/>
    </xf>
    <xf numFmtId="0" fontId="13" fillId="19" borderId="0" xfId="0" applyFont="1" applyFill="1">
      <alignment vertical="center"/>
    </xf>
    <xf numFmtId="44" fontId="16" fillId="0" borderId="0" xfId="2" applyFont="1" applyFill="1" applyAlignment="1">
      <alignment vertical="center"/>
    </xf>
    <xf numFmtId="0" fontId="16" fillId="0" borderId="0" xfId="0" applyFont="1">
      <alignment vertical="center"/>
    </xf>
    <xf numFmtId="44" fontId="16" fillId="0" borderId="0" xfId="2" applyFont="1" applyAlignment="1">
      <alignment vertical="center"/>
    </xf>
    <xf numFmtId="167" fontId="16" fillId="0" borderId="0" xfId="2" applyNumberFormat="1" applyFont="1" applyAlignment="1">
      <alignment vertical="center"/>
    </xf>
    <xf numFmtId="165" fontId="16" fillId="0" borderId="0" xfId="1" applyNumberFormat="1" applyFont="1">
      <alignment vertical="center"/>
    </xf>
    <xf numFmtId="0" fontId="12" fillId="16" borderId="1" xfId="0" applyFont="1" applyFill="1" applyBorder="1">
      <alignment vertical="center"/>
    </xf>
    <xf numFmtId="0" fontId="11" fillId="16" borderId="1" xfId="0" applyFont="1" applyFill="1" applyBorder="1">
      <alignment vertical="center"/>
    </xf>
    <xf numFmtId="0" fontId="11" fillId="0" borderId="0" xfId="0" applyFont="1" applyFill="1" applyAlignment="1">
      <alignment horizontal="left" vertical="center" wrapText="1"/>
    </xf>
    <xf numFmtId="0" fontId="13" fillId="17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3" fillId="19" borderId="0" xfId="0" applyFont="1" applyFill="1" applyAlignment="1">
      <alignment horizontal="center" vertical="center"/>
    </xf>
    <xf numFmtId="0" fontId="13" fillId="19" borderId="1" xfId="0" applyFont="1" applyFill="1" applyBorder="1">
      <alignment vertical="center"/>
    </xf>
    <xf numFmtId="0" fontId="12" fillId="15" borderId="1" xfId="0" applyFont="1" applyFill="1" applyBorder="1">
      <alignment vertical="center"/>
    </xf>
    <xf numFmtId="0" fontId="11" fillId="15" borderId="1" xfId="0" applyFont="1" applyFill="1" applyBorder="1">
      <alignment vertical="center"/>
    </xf>
    <xf numFmtId="0" fontId="18" fillId="0" borderId="0" xfId="0" applyFont="1">
      <alignment vertical="center"/>
    </xf>
    <xf numFmtId="164" fontId="18" fillId="0" borderId="0" xfId="1" applyNumberFormat="1" applyFont="1">
      <alignment vertical="center"/>
    </xf>
    <xf numFmtId="0" fontId="18" fillId="0" borderId="0" xfId="0" applyFont="1" applyFill="1">
      <alignment vertical="center"/>
    </xf>
    <xf numFmtId="164" fontId="19" fillId="0" borderId="0" xfId="1" applyNumberFormat="1" applyFont="1">
      <alignment vertical="center"/>
    </xf>
    <xf numFmtId="164" fontId="18" fillId="0" borderId="0" xfId="1" applyNumberFormat="1" applyFont="1" applyFill="1">
      <alignment vertical="center"/>
    </xf>
    <xf numFmtId="0" fontId="19" fillId="0" borderId="0" xfId="0" applyFont="1">
      <alignment vertical="center"/>
    </xf>
    <xf numFmtId="0" fontId="21" fillId="0" borderId="0" xfId="0" applyFont="1" applyFill="1">
      <alignment vertical="center"/>
    </xf>
    <xf numFmtId="0" fontId="20" fillId="0" borderId="0" xfId="0" applyFont="1">
      <alignment vertical="center"/>
    </xf>
    <xf numFmtId="166" fontId="16" fillId="0" borderId="0" xfId="3" applyNumberFormat="1" applyFont="1" applyAlignment="1">
      <alignment vertical="center"/>
    </xf>
    <xf numFmtId="10" fontId="16" fillId="0" borderId="0" xfId="3" applyNumberFormat="1" applyFont="1" applyAlignment="1">
      <alignment vertical="center"/>
    </xf>
    <xf numFmtId="43" fontId="18" fillId="0" borderId="0" xfId="0" applyNumberFormat="1" applyFont="1">
      <alignment vertical="center"/>
    </xf>
    <xf numFmtId="0" fontId="11" fillId="0" borderId="0" xfId="0" applyFont="1" applyAlignment="1">
      <alignment horizontal="left" vertical="center"/>
    </xf>
    <xf numFmtId="0" fontId="12" fillId="15" borderId="2" xfId="0" applyFont="1" applyFill="1" applyBorder="1">
      <alignment vertical="center"/>
    </xf>
    <xf numFmtId="0" fontId="11" fillId="15" borderId="3" xfId="0" applyFont="1" applyFill="1" applyBorder="1">
      <alignment vertical="center"/>
    </xf>
    <xf numFmtId="0" fontId="11" fillId="15" borderId="4" xfId="0" applyFont="1" applyFill="1" applyBorder="1">
      <alignment vertical="center"/>
    </xf>
    <xf numFmtId="0" fontId="11" fillId="15" borderId="3" xfId="0" applyFont="1" applyFill="1" applyBorder="1" applyAlignment="1">
      <alignment horizontal="left" vertical="center"/>
    </xf>
    <xf numFmtId="0" fontId="13" fillId="19" borderId="0" xfId="0" applyFont="1" applyFill="1" applyBorder="1">
      <alignment vertical="center"/>
    </xf>
    <xf numFmtId="0" fontId="16" fillId="0" borderId="5" xfId="0" applyFont="1" applyBorder="1">
      <alignment vertical="center"/>
    </xf>
    <xf numFmtId="10" fontId="17" fillId="0" borderId="0" xfId="3" applyNumberFormat="1" applyFont="1" applyBorder="1" applyAlignment="1">
      <alignment vertical="center"/>
    </xf>
    <xf numFmtId="9" fontId="16" fillId="0" borderId="6" xfId="3" applyFont="1" applyBorder="1" applyAlignment="1">
      <alignment vertical="center"/>
    </xf>
    <xf numFmtId="0" fontId="11" fillId="0" borderId="6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6" fillId="0" borderId="5" xfId="0" applyFont="1" applyBorder="1" applyAlignment="1">
      <alignment horizontal="center" vertical="center"/>
    </xf>
    <xf numFmtId="44" fontId="16" fillId="0" borderId="6" xfId="2" applyFont="1" applyBorder="1" applyAlignment="1">
      <alignment vertical="center"/>
    </xf>
    <xf numFmtId="9" fontId="17" fillId="0" borderId="6" xfId="0" applyNumberFormat="1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9" fontId="17" fillId="0" borderId="9" xfId="0" applyNumberFormat="1" applyFont="1" applyBorder="1">
      <alignment vertical="center"/>
    </xf>
    <xf numFmtId="43" fontId="16" fillId="0" borderId="6" xfId="1" applyFont="1" applyBorder="1" applyAlignment="1">
      <alignment horizontal="center" vertical="center"/>
    </xf>
    <xf numFmtId="43" fontId="16" fillId="0" borderId="9" xfId="1" applyFont="1" applyBorder="1" applyAlignment="1">
      <alignment horizontal="center" vertical="center"/>
    </xf>
    <xf numFmtId="166" fontId="16" fillId="0" borderId="5" xfId="3" applyNumberFormat="1" applyFont="1" applyBorder="1" applyAlignment="1">
      <alignment vertical="center"/>
    </xf>
    <xf numFmtId="166" fontId="16" fillId="0" borderId="7" xfId="3" applyNumberFormat="1" applyFont="1" applyBorder="1" applyAlignment="1">
      <alignment vertical="center"/>
    </xf>
    <xf numFmtId="167" fontId="16" fillId="0" borderId="0" xfId="2" applyNumberFormat="1" applyFont="1" applyBorder="1" applyAlignment="1">
      <alignment vertical="center"/>
    </xf>
    <xf numFmtId="167" fontId="16" fillId="0" borderId="6" xfId="2" applyNumberFormat="1" applyFont="1" applyBorder="1" applyAlignment="1">
      <alignment vertical="center"/>
    </xf>
    <xf numFmtId="167" fontId="16" fillId="0" borderId="8" xfId="2" applyNumberFormat="1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3" fillId="19" borderId="5" xfId="0" applyFont="1" applyFill="1" applyBorder="1" applyAlignment="1">
      <alignment horizontal="left" vertical="center" wrapText="1"/>
    </xf>
    <xf numFmtId="0" fontId="13" fillId="19" borderId="0" xfId="0" applyFont="1" applyFill="1" applyBorder="1" applyAlignment="1">
      <alignment horizontal="left" vertical="center" wrapText="1"/>
    </xf>
    <xf numFmtId="0" fontId="13" fillId="19" borderId="6" xfId="0" applyFont="1" applyFill="1" applyBorder="1" applyAlignment="1">
      <alignment horizontal="left" vertical="center" wrapText="1"/>
    </xf>
    <xf numFmtId="0" fontId="13" fillId="19" borderId="10" xfId="0" applyFont="1" applyFill="1" applyBorder="1" applyAlignment="1">
      <alignment horizontal="left" vertical="center" wrapText="1"/>
    </xf>
    <xf numFmtId="0" fontId="13" fillId="19" borderId="11" xfId="0" applyFont="1" applyFill="1" applyBorder="1" applyAlignment="1">
      <alignment horizontal="left" vertical="center" wrapText="1"/>
    </xf>
    <xf numFmtId="0" fontId="13" fillId="19" borderId="12" xfId="0" applyFont="1" applyFill="1" applyBorder="1" applyAlignment="1">
      <alignment horizontal="left" vertical="center" wrapText="1"/>
    </xf>
    <xf numFmtId="10" fontId="16" fillId="0" borderId="6" xfId="3" applyNumberFormat="1" applyFont="1" applyBorder="1" applyAlignment="1">
      <alignment vertical="center"/>
    </xf>
    <xf numFmtId="10" fontId="16" fillId="0" borderId="9" xfId="3" applyNumberFormat="1" applyFont="1" applyBorder="1" applyAlignment="1">
      <alignment vertical="center"/>
    </xf>
    <xf numFmtId="0" fontId="23" fillId="0" borderId="0" xfId="0" applyFont="1">
      <alignment vertical="center"/>
    </xf>
    <xf numFmtId="0" fontId="22" fillId="0" borderId="0" xfId="0" applyFont="1" applyFill="1">
      <alignment vertical="center"/>
    </xf>
    <xf numFmtId="0" fontId="22" fillId="0" borderId="0" xfId="0" applyFont="1">
      <alignment vertical="center"/>
    </xf>
    <xf numFmtId="0" fontId="23" fillId="0" borderId="0" xfId="0" applyFont="1" applyFill="1">
      <alignment vertical="center"/>
    </xf>
    <xf numFmtId="0" fontId="23" fillId="0" borderId="0" xfId="0" applyFont="1" applyAlignment="1">
      <alignment horizontal="left" vertical="center" indent="1"/>
    </xf>
    <xf numFmtId="164" fontId="23" fillId="0" borderId="0" xfId="1" applyNumberFormat="1" applyFont="1">
      <alignment vertical="center"/>
    </xf>
    <xf numFmtId="9" fontId="24" fillId="0" borderId="0" xfId="3" applyFont="1" applyAlignment="1">
      <alignment vertical="center"/>
    </xf>
    <xf numFmtId="44" fontId="24" fillId="0" borderId="0" xfId="2" applyFont="1" applyAlignment="1">
      <alignment vertical="center"/>
    </xf>
    <xf numFmtId="167" fontId="23" fillId="0" borderId="0" xfId="2" applyNumberFormat="1" applyFont="1" applyAlignment="1">
      <alignment vertical="center"/>
    </xf>
    <xf numFmtId="167" fontId="23" fillId="0" borderId="1" xfId="2" applyNumberFormat="1" applyFont="1" applyBorder="1" applyAlignment="1">
      <alignment vertical="center"/>
    </xf>
    <xf numFmtId="0" fontId="23" fillId="0" borderId="0" xfId="0" applyFont="1" applyAlignment="1">
      <alignment horizontal="left" vertical="center" indent="2"/>
    </xf>
    <xf numFmtId="43" fontId="24" fillId="0" borderId="0" xfId="1" applyFont="1" applyAlignment="1">
      <alignment vertical="center"/>
    </xf>
    <xf numFmtId="167" fontId="23" fillId="0" borderId="0" xfId="2" applyNumberFormat="1" applyFont="1" applyBorder="1" applyAlignment="1">
      <alignment vertical="center"/>
    </xf>
    <xf numFmtId="10" fontId="22" fillId="0" borderId="0" xfId="0" applyNumberFormat="1" applyFont="1">
      <alignment vertical="center"/>
    </xf>
    <xf numFmtId="167" fontId="23" fillId="0" borderId="0" xfId="0" applyNumberFormat="1" applyFont="1">
      <alignment vertical="center"/>
    </xf>
    <xf numFmtId="10" fontId="23" fillId="0" borderId="0" xfId="0" applyNumberFormat="1" applyFont="1">
      <alignment vertical="center"/>
    </xf>
    <xf numFmtId="44" fontId="23" fillId="0" borderId="0" xfId="0" applyNumberFormat="1" applyFont="1">
      <alignment vertical="center"/>
    </xf>
    <xf numFmtId="0" fontId="23" fillId="0" borderId="0" xfId="0" applyFont="1" applyFill="1" applyAlignment="1">
      <alignment horizontal="left" vertical="center" indent="1"/>
    </xf>
    <xf numFmtId="0" fontId="23" fillId="0" borderId="0" xfId="0" applyFont="1" applyFill="1" applyAlignment="1">
      <alignment horizontal="left" vertical="center" indent="2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fill" vertical="center"/>
    </xf>
    <xf numFmtId="10" fontId="24" fillId="0" borderId="0" xfId="3" applyNumberFormat="1" applyFont="1" applyAlignment="1">
      <alignment vertical="center"/>
    </xf>
    <xf numFmtId="0" fontId="23" fillId="0" borderId="0" xfId="0" applyFont="1" applyAlignment="1">
      <alignment horizontal="fill" vertical="center"/>
    </xf>
    <xf numFmtId="0" fontId="23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left" vertical="center" indent="2"/>
    </xf>
    <xf numFmtId="0" fontId="25" fillId="19" borderId="10" xfId="0" applyFont="1" applyFill="1" applyBorder="1">
      <alignment vertical="center"/>
    </xf>
    <xf numFmtId="0" fontId="25" fillId="19" borderId="11" xfId="0" applyFont="1" applyFill="1" applyBorder="1">
      <alignment vertical="center"/>
    </xf>
    <xf numFmtId="0" fontId="22" fillId="0" borderId="12" xfId="0" applyFont="1" applyBorder="1">
      <alignment vertical="center"/>
    </xf>
    <xf numFmtId="0" fontId="22" fillId="0" borderId="5" xfId="0" applyFont="1" applyFill="1" applyBorder="1">
      <alignment vertical="center"/>
    </xf>
    <xf numFmtId="0" fontId="23" fillId="0" borderId="6" xfId="0" applyFont="1" applyBorder="1">
      <alignment vertical="center"/>
    </xf>
    <xf numFmtId="0" fontId="23" fillId="0" borderId="9" xfId="0" applyFont="1" applyBorder="1">
      <alignment vertical="center"/>
    </xf>
    <xf numFmtId="0" fontId="22" fillId="0" borderId="8" xfId="0" applyFont="1" applyFill="1" applyBorder="1">
      <alignment vertical="center"/>
    </xf>
    <xf numFmtId="0" fontId="22" fillId="0" borderId="8" xfId="0" applyFont="1" applyBorder="1">
      <alignment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9" fontId="16" fillId="15" borderId="4" xfId="3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2" fillId="19" borderId="11" xfId="0" applyFont="1" applyFill="1" applyBorder="1">
      <alignment vertical="center"/>
    </xf>
    <xf numFmtId="0" fontId="22" fillId="0" borderId="11" xfId="0" applyFont="1" applyBorder="1">
      <alignment vertical="center"/>
    </xf>
    <xf numFmtId="166" fontId="27" fillId="0" borderId="6" xfId="3" applyNumberFormat="1" applyFont="1" applyBorder="1" applyAlignment="1">
      <alignment vertical="center"/>
    </xf>
    <xf numFmtId="0" fontId="23" fillId="0" borderId="7" xfId="0" applyFont="1" applyBorder="1">
      <alignment vertical="center"/>
    </xf>
    <xf numFmtId="0" fontId="23" fillId="0" borderId="8" xfId="0" applyFont="1" applyBorder="1">
      <alignment vertical="center"/>
    </xf>
    <xf numFmtId="0" fontId="27" fillId="0" borderId="0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164" fontId="18" fillId="3" borderId="0" xfId="1" applyNumberFormat="1" applyFont="1" applyFill="1" applyBorder="1">
      <alignment vertical="center"/>
    </xf>
    <xf numFmtId="166" fontId="18" fillId="3" borderId="6" xfId="3" applyNumberFormat="1" applyFont="1" applyFill="1" applyBorder="1" applyAlignment="1">
      <alignment vertical="center"/>
    </xf>
    <xf numFmtId="0" fontId="18" fillId="0" borderId="8" xfId="0" applyFont="1" applyBorder="1">
      <alignment vertical="center"/>
    </xf>
    <xf numFmtId="0" fontId="13" fillId="18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164" fontId="12" fillId="0" borderId="0" xfId="0" applyNumberFormat="1" applyFont="1">
      <alignment vertical="center"/>
    </xf>
    <xf numFmtId="9" fontId="11" fillId="0" borderId="13" xfId="3" applyFont="1" applyBorder="1" applyAlignment="1">
      <alignment vertical="center"/>
    </xf>
    <xf numFmtId="0" fontId="13" fillId="0" borderId="13" xfId="0" applyFont="1" applyFill="1" applyBorder="1">
      <alignment vertical="center"/>
    </xf>
    <xf numFmtId="0" fontId="13" fillId="19" borderId="13" xfId="0" applyFont="1" applyFill="1" applyBorder="1">
      <alignment vertical="center"/>
    </xf>
    <xf numFmtId="9" fontId="11" fillId="0" borderId="0" xfId="0" applyNumberFormat="1" applyFont="1" applyFill="1">
      <alignment vertical="center"/>
    </xf>
    <xf numFmtId="164" fontId="11" fillId="0" borderId="0" xfId="1" applyNumberFormat="1" applyFont="1" applyBorder="1" applyAlignment="1">
      <alignment vertical="center"/>
    </xf>
    <xf numFmtId="164" fontId="13" fillId="0" borderId="0" xfId="1" applyNumberFormat="1" applyFont="1" applyFill="1" applyBorder="1">
      <alignment vertical="center"/>
    </xf>
    <xf numFmtId="0" fontId="0" fillId="0" borderId="0" xfId="0" applyFill="1" applyAlignment="1">
      <alignment horizontal="left" vertical="center" indent="1"/>
    </xf>
    <xf numFmtId="0" fontId="29" fillId="0" borderId="6" xfId="0" applyFont="1" applyBorder="1">
      <alignment vertical="center"/>
    </xf>
    <xf numFmtId="0" fontId="29" fillId="0" borderId="0" xfId="0" applyFont="1">
      <alignment vertical="center"/>
    </xf>
    <xf numFmtId="0" fontId="29" fillId="0" borderId="9" xfId="0" applyFont="1" applyBorder="1">
      <alignment vertical="center"/>
    </xf>
    <xf numFmtId="164" fontId="11" fillId="0" borderId="0" xfId="1" applyNumberFormat="1" applyFont="1">
      <alignment vertical="center"/>
    </xf>
    <xf numFmtId="0" fontId="11" fillId="0" borderId="13" xfId="0" applyFont="1" applyBorder="1">
      <alignment vertical="center"/>
    </xf>
    <xf numFmtId="164" fontId="12" fillId="0" borderId="0" xfId="1" applyNumberFormat="1" applyFont="1">
      <alignment vertical="center"/>
    </xf>
    <xf numFmtId="164" fontId="11" fillId="0" borderId="13" xfId="1" applyNumberFormat="1" applyFont="1" applyBorder="1">
      <alignment vertical="center"/>
    </xf>
    <xf numFmtId="164" fontId="11" fillId="0" borderId="0" xfId="1" applyNumberFormat="1" applyFont="1" applyFill="1">
      <alignment vertical="center"/>
    </xf>
    <xf numFmtId="164" fontId="12" fillId="0" borderId="0" xfId="1" applyNumberFormat="1" applyFont="1" applyAlignment="1">
      <alignment vertical="center"/>
    </xf>
    <xf numFmtId="9" fontId="11" fillId="0" borderId="0" xfId="3" applyFont="1" applyAlignment="1">
      <alignment vertical="center"/>
    </xf>
    <xf numFmtId="164" fontId="11" fillId="3" borderId="0" xfId="1" applyNumberFormat="1" applyFont="1" applyFill="1">
      <alignment vertical="center"/>
    </xf>
    <xf numFmtId="164" fontId="11" fillId="3" borderId="13" xfId="1" applyNumberFormat="1" applyFont="1" applyFill="1" applyBorder="1">
      <alignment vertical="center"/>
    </xf>
    <xf numFmtId="164" fontId="11" fillId="3" borderId="5" xfId="1" applyNumberFormat="1" applyFont="1" applyFill="1" applyBorder="1">
      <alignment vertical="center"/>
    </xf>
    <xf numFmtId="164" fontId="11" fillId="4" borderId="0" xfId="1" applyNumberFormat="1" applyFont="1" applyFill="1">
      <alignment vertical="center"/>
    </xf>
    <xf numFmtId="164" fontId="11" fillId="4" borderId="13" xfId="1" applyNumberFormat="1" applyFont="1" applyFill="1" applyBorder="1">
      <alignment vertical="center"/>
    </xf>
    <xf numFmtId="164" fontId="11" fillId="5" borderId="0" xfId="1" applyNumberFormat="1" applyFont="1" applyFill="1">
      <alignment vertical="center"/>
    </xf>
    <xf numFmtId="164" fontId="11" fillId="5" borderId="13" xfId="1" applyNumberFormat="1" applyFont="1" applyFill="1" applyBorder="1">
      <alignment vertical="center"/>
    </xf>
    <xf numFmtId="164" fontId="16" fillId="5" borderId="0" xfId="1" applyNumberFormat="1" applyFont="1" applyFill="1">
      <alignment vertical="center"/>
    </xf>
    <xf numFmtId="164" fontId="12" fillId="5" borderId="0" xfId="1" applyNumberFormat="1" applyFont="1" applyFill="1">
      <alignment vertical="center"/>
    </xf>
    <xf numFmtId="164" fontId="11" fillId="6" borderId="0" xfId="1" applyNumberFormat="1" applyFont="1" applyFill="1">
      <alignment vertical="center"/>
    </xf>
    <xf numFmtId="164" fontId="11" fillId="6" borderId="13" xfId="1" applyNumberFormat="1" applyFont="1" applyFill="1" applyBorder="1">
      <alignment vertical="center"/>
    </xf>
    <xf numFmtId="164" fontId="11" fillId="7" borderId="0" xfId="1" applyNumberFormat="1" applyFont="1" applyFill="1">
      <alignment vertical="center"/>
    </xf>
    <xf numFmtId="164" fontId="11" fillId="7" borderId="13" xfId="1" applyNumberFormat="1" applyFont="1" applyFill="1" applyBorder="1">
      <alignment vertical="center"/>
    </xf>
    <xf numFmtId="9" fontId="11" fillId="0" borderId="7" xfId="3" applyFont="1" applyBorder="1" applyAlignment="1">
      <alignment vertical="center"/>
    </xf>
    <xf numFmtId="9" fontId="11" fillId="0" borderId="13" xfId="0" applyNumberFormat="1" applyFont="1" applyFill="1" applyBorder="1">
      <alignment vertical="center"/>
    </xf>
    <xf numFmtId="0" fontId="0" fillId="0" borderId="0" xfId="0" quotePrefix="1">
      <alignment vertical="center"/>
    </xf>
    <xf numFmtId="44" fontId="16" fillId="0" borderId="0" xfId="2" applyFont="1" applyBorder="1" applyAlignment="1">
      <alignment vertical="center"/>
    </xf>
    <xf numFmtId="9" fontId="16" fillId="0" borderId="0" xfId="3" applyFont="1" applyBorder="1" applyAlignment="1">
      <alignment vertical="center"/>
    </xf>
    <xf numFmtId="9" fontId="17" fillId="0" borderId="0" xfId="0" applyNumberFormat="1" applyFont="1" applyBorder="1">
      <alignment vertical="center"/>
    </xf>
    <xf numFmtId="9" fontId="17" fillId="0" borderId="8" xfId="0" applyNumberFormat="1" applyFont="1" applyBorder="1">
      <alignment vertical="center"/>
    </xf>
    <xf numFmtId="0" fontId="12" fillId="15" borderId="3" xfId="0" applyFont="1" applyFill="1" applyBorder="1">
      <alignment vertical="center"/>
    </xf>
    <xf numFmtId="43" fontId="16" fillId="0" borderId="0" xfId="1" applyFont="1" applyBorder="1" applyAlignment="1">
      <alignment horizontal="center" vertical="center"/>
    </xf>
    <xf numFmtId="43" fontId="16" fillId="0" borderId="8" xfId="1" applyFont="1" applyBorder="1" applyAlignment="1">
      <alignment horizontal="center" vertical="center"/>
    </xf>
    <xf numFmtId="0" fontId="12" fillId="20" borderId="10" xfId="0" applyFont="1" applyFill="1" applyBorder="1">
      <alignment vertical="center"/>
    </xf>
    <xf numFmtId="0" fontId="11" fillId="20" borderId="11" xfId="0" applyFont="1" applyFill="1" applyBorder="1">
      <alignment vertical="center"/>
    </xf>
    <xf numFmtId="0" fontId="11" fillId="20" borderId="12" xfId="0" applyFont="1" applyFill="1" applyBorder="1">
      <alignment vertical="center"/>
    </xf>
    <xf numFmtId="44" fontId="16" fillId="0" borderId="6" xfId="2" applyFont="1" applyBorder="1" applyAlignment="1">
      <alignment horizontal="center" vertical="center"/>
    </xf>
    <xf numFmtId="165" fontId="11" fillId="0" borderId="0" xfId="1" applyNumberFormat="1" applyFont="1">
      <alignment vertical="center"/>
    </xf>
    <xf numFmtId="44" fontId="11" fillId="0" borderId="0" xfId="0" applyNumberFormat="1" applyFont="1">
      <alignment vertical="center"/>
    </xf>
    <xf numFmtId="10" fontId="11" fillId="0" borderId="0" xfId="3" applyNumberFormat="1" applyFont="1" applyAlignment="1">
      <alignment vertical="center"/>
    </xf>
    <xf numFmtId="165" fontId="12" fillId="0" borderId="0" xfId="1" applyNumberFormat="1" applyFont="1">
      <alignment vertical="center"/>
    </xf>
    <xf numFmtId="9" fontId="30" fillId="0" borderId="0" xfId="3" applyFont="1" applyAlignment="1">
      <alignment vertical="center"/>
    </xf>
    <xf numFmtId="164" fontId="17" fillId="0" borderId="0" xfId="1" applyNumberFormat="1" applyFont="1">
      <alignment vertical="center"/>
    </xf>
    <xf numFmtId="166" fontId="17" fillId="0" borderId="0" xfId="0" applyNumberFormat="1" applyFont="1">
      <alignment vertical="center"/>
    </xf>
    <xf numFmtId="164" fontId="16" fillId="0" borderId="0" xfId="1" applyNumberFormat="1" applyFont="1" applyFill="1" applyAlignment="1">
      <alignment vertical="center"/>
    </xf>
    <xf numFmtId="0" fontId="22" fillId="0" borderId="0" xfId="0" applyFont="1" applyFill="1" applyBorder="1">
      <alignment vertical="center"/>
    </xf>
    <xf numFmtId="9" fontId="24" fillId="0" borderId="0" xfId="3" applyFont="1" applyFill="1" applyAlignment="1">
      <alignment vertical="center"/>
    </xf>
    <xf numFmtId="10" fontId="24" fillId="0" borderId="0" xfId="3" applyNumberFormat="1" applyFont="1" applyFill="1" applyAlignment="1">
      <alignment vertical="center"/>
    </xf>
    <xf numFmtId="167" fontId="23" fillId="0" borderId="0" xfId="2" applyNumberFormat="1" applyFont="1" applyFill="1" applyAlignment="1">
      <alignment vertical="center"/>
    </xf>
    <xf numFmtId="167" fontId="23" fillId="0" borderId="1" xfId="2" applyNumberFormat="1" applyFont="1" applyFill="1" applyBorder="1" applyAlignment="1">
      <alignment vertical="center"/>
    </xf>
    <xf numFmtId="167" fontId="23" fillId="0" borderId="0" xfId="2" applyNumberFormat="1" applyFont="1" applyFill="1" applyBorder="1" applyAlignment="1">
      <alignment vertical="center"/>
    </xf>
    <xf numFmtId="167" fontId="23" fillId="0" borderId="0" xfId="0" applyNumberFormat="1" applyFont="1" applyFill="1">
      <alignment vertical="center"/>
    </xf>
    <xf numFmtId="10" fontId="23" fillId="0" borderId="0" xfId="0" applyNumberFormat="1" applyFont="1" applyFill="1">
      <alignment vertical="center"/>
    </xf>
    <xf numFmtId="0" fontId="23" fillId="0" borderId="0" xfId="0" applyFont="1" applyFill="1" applyAlignment="1">
      <alignment horizontal="left" vertical="center" indent="3"/>
    </xf>
    <xf numFmtId="0" fontId="23" fillId="0" borderId="0" xfId="0" applyFont="1" applyFill="1" applyBorder="1" applyAlignment="1">
      <alignment horizontal="left" vertical="center" indent="1"/>
    </xf>
    <xf numFmtId="164" fontId="23" fillId="0" borderId="0" xfId="1" applyNumberFormat="1" applyFont="1" applyFill="1" applyBorder="1">
      <alignment vertical="center"/>
    </xf>
    <xf numFmtId="10" fontId="23" fillId="0" borderId="0" xfId="0" applyNumberFormat="1" applyFont="1" applyFill="1" applyBorder="1">
      <alignment vertical="center"/>
    </xf>
    <xf numFmtId="44" fontId="23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Fill="1" applyBorder="1" applyAlignment="1">
      <alignment horizontal="left" vertical="center" indent="3"/>
    </xf>
    <xf numFmtId="44" fontId="0" fillId="0" borderId="0" xfId="0" applyNumberFormat="1">
      <alignment vertical="center"/>
    </xf>
    <xf numFmtId="9" fontId="23" fillId="0" borderId="0" xfId="3" applyFont="1" applyFill="1" applyBorder="1" applyAlignment="1">
      <alignment vertical="center"/>
    </xf>
    <xf numFmtId="44" fontId="0" fillId="0" borderId="0" xfId="2" applyFont="1" applyAlignment="1">
      <alignment vertical="center"/>
    </xf>
    <xf numFmtId="43" fontId="0" fillId="0" borderId="0" xfId="1" applyFont="1">
      <alignment vertical="center"/>
    </xf>
    <xf numFmtId="43" fontId="23" fillId="0" borderId="0" xfId="1" applyNumberFormat="1" applyFont="1">
      <alignment vertical="center"/>
    </xf>
    <xf numFmtId="43" fontId="23" fillId="0" borderId="0" xfId="0" applyNumberFormat="1" applyFont="1">
      <alignment vertical="center"/>
    </xf>
    <xf numFmtId="164" fontId="23" fillId="0" borderId="0" xfId="1" applyNumberFormat="1" applyFont="1" applyFill="1" applyAlignment="1">
      <alignment horizontal="left" vertical="center" indent="1"/>
    </xf>
    <xf numFmtId="166" fontId="0" fillId="0" borderId="0" xfId="3" applyNumberFormat="1" applyFont="1" applyAlignment="1">
      <alignment vertical="center"/>
    </xf>
    <xf numFmtId="164" fontId="23" fillId="0" borderId="0" xfId="0" applyNumberFormat="1" applyFont="1">
      <alignment vertical="center"/>
    </xf>
    <xf numFmtId="164" fontId="32" fillId="0" borderId="0" xfId="1" applyNumberFormat="1" applyFont="1">
      <alignment vertical="center"/>
    </xf>
    <xf numFmtId="43" fontId="0" fillId="0" borderId="0" xfId="0" applyNumberFormat="1">
      <alignment vertical="center"/>
    </xf>
    <xf numFmtId="164" fontId="24" fillId="0" borderId="0" xfId="0" applyNumberFormat="1" applyFont="1">
      <alignment vertical="center"/>
    </xf>
    <xf numFmtId="0" fontId="31" fillId="0" borderId="0" xfId="0" applyFont="1" applyFill="1">
      <alignment vertical="center"/>
    </xf>
    <xf numFmtId="164" fontId="24" fillId="0" borderId="0" xfId="1" applyNumberFormat="1" applyFont="1">
      <alignment vertical="center"/>
    </xf>
    <xf numFmtId="43" fontId="24" fillId="0" borderId="0" xfId="0" applyNumberFormat="1" applyFont="1">
      <alignment vertical="center"/>
    </xf>
    <xf numFmtId="167" fontId="32" fillId="0" borderId="0" xfId="2" applyNumberFormat="1" applyFont="1" applyAlignment="1">
      <alignment vertical="center"/>
    </xf>
    <xf numFmtId="44" fontId="32" fillId="0" borderId="0" xfId="2" applyFont="1" applyAlignment="1">
      <alignment vertical="center"/>
    </xf>
    <xf numFmtId="167" fontId="24" fillId="0" borderId="0" xfId="0" applyNumberFormat="1" applyFont="1">
      <alignment vertical="center"/>
    </xf>
    <xf numFmtId="164" fontId="11" fillId="21" borderId="0" xfId="1" applyNumberFormat="1" applyFont="1" applyFill="1">
      <alignment vertical="center"/>
    </xf>
    <xf numFmtId="164" fontId="11" fillId="21" borderId="13" xfId="1" applyNumberFormat="1" applyFont="1" applyFill="1" applyBorder="1">
      <alignment vertical="center"/>
    </xf>
    <xf numFmtId="167" fontId="11" fillId="0" borderId="0" xfId="0" applyNumberFormat="1" applyFont="1">
      <alignment vertical="center"/>
    </xf>
    <xf numFmtId="43" fontId="33" fillId="0" borderId="0" xfId="1" applyFont="1">
      <alignment vertical="center"/>
    </xf>
    <xf numFmtId="0" fontId="33" fillId="0" borderId="0" xfId="0" applyFont="1">
      <alignment vertical="center"/>
    </xf>
    <xf numFmtId="43" fontId="33" fillId="0" borderId="0" xfId="1" applyFont="1" applyFill="1" applyBorder="1" applyAlignment="1">
      <alignment vertical="center"/>
    </xf>
    <xf numFmtId="167" fontId="33" fillId="0" borderId="0" xfId="2" applyNumberFormat="1" applyFont="1" applyFill="1" applyBorder="1" applyAlignment="1">
      <alignment vertical="center"/>
    </xf>
    <xf numFmtId="44" fontId="33" fillId="0" borderId="0" xfId="0" applyNumberFormat="1" applyFont="1">
      <alignment vertical="center"/>
    </xf>
    <xf numFmtId="167" fontId="33" fillId="0" borderId="0" xfId="0" applyNumberFormat="1" applyFont="1">
      <alignment vertical="center"/>
    </xf>
    <xf numFmtId="43" fontId="33" fillId="0" borderId="0" xfId="1" applyFont="1" applyAlignment="1">
      <alignment vertical="center"/>
    </xf>
    <xf numFmtId="43" fontId="33" fillId="0" borderId="0" xfId="0" applyNumberFormat="1" applyFont="1">
      <alignment vertical="center"/>
    </xf>
    <xf numFmtId="167" fontId="24" fillId="0" borderId="0" xfId="2" applyNumberFormat="1" applyFont="1" applyAlignment="1">
      <alignment vertical="center"/>
    </xf>
    <xf numFmtId="0" fontId="34" fillId="0" borderId="0" xfId="0" applyFont="1">
      <alignment vertical="center"/>
    </xf>
    <xf numFmtId="44" fontId="34" fillId="0" borderId="0" xfId="2" applyFont="1" applyAlignment="1">
      <alignment vertical="center"/>
    </xf>
    <xf numFmtId="167" fontId="34" fillId="0" borderId="0" xfId="2" applyNumberFormat="1" applyFont="1" applyAlignment="1">
      <alignment vertical="center"/>
    </xf>
    <xf numFmtId="0" fontId="35" fillId="19" borderId="0" xfId="0" applyFont="1" applyFill="1">
      <alignment vertical="center"/>
    </xf>
    <xf numFmtId="164" fontId="29" fillId="0" borderId="0" xfId="1" applyNumberFormat="1" applyFont="1">
      <alignment vertical="center"/>
    </xf>
    <xf numFmtId="0" fontId="29" fillId="0" borderId="1" xfId="0" applyFont="1" applyBorder="1">
      <alignment vertical="center"/>
    </xf>
    <xf numFmtId="0" fontId="34" fillId="0" borderId="1" xfId="0" applyFont="1" applyBorder="1">
      <alignment vertical="center"/>
    </xf>
    <xf numFmtId="164" fontId="29" fillId="0" borderId="1" xfId="1" applyNumberFormat="1" applyFont="1" applyBorder="1">
      <alignment vertical="center"/>
    </xf>
    <xf numFmtId="44" fontId="34" fillId="0" borderId="1" xfId="2" applyFont="1" applyBorder="1" applyAlignment="1">
      <alignment vertical="center"/>
    </xf>
    <xf numFmtId="167" fontId="34" fillId="0" borderId="1" xfId="2" applyNumberFormat="1" applyFont="1" applyBorder="1" applyAlignment="1">
      <alignment vertical="center"/>
    </xf>
    <xf numFmtId="167" fontId="29" fillId="0" borderId="0" xfId="0" applyNumberFormat="1" applyFont="1">
      <alignment vertical="center"/>
    </xf>
    <xf numFmtId="167" fontId="29" fillId="0" borderId="0" xfId="2" applyNumberFormat="1" applyFont="1" applyAlignment="1">
      <alignment vertical="center"/>
    </xf>
    <xf numFmtId="0" fontId="29" fillId="0" borderId="0" xfId="0" applyFont="1" applyAlignment="1">
      <alignment horizontal="left" vertical="center" indent="6"/>
    </xf>
    <xf numFmtId="0" fontId="23" fillId="19" borderId="0" xfId="0" applyFont="1" applyFill="1">
      <alignment vertical="center"/>
    </xf>
    <xf numFmtId="0" fontId="36" fillId="19" borderId="0" xfId="0" applyFont="1" applyFill="1">
      <alignment vertical="center"/>
    </xf>
    <xf numFmtId="0" fontId="25" fillId="19" borderId="0" xfId="0" applyFont="1" applyFill="1">
      <alignment vertical="center"/>
    </xf>
    <xf numFmtId="0" fontId="22" fillId="0" borderId="0" xfId="0" applyFont="1" applyFill="1" applyAlignment="1">
      <alignment horizontal="left" vertical="center" indent="1"/>
    </xf>
    <xf numFmtId="164" fontId="11" fillId="15" borderId="5" xfId="1" applyNumberFormat="1" applyFont="1" applyFill="1" applyBorder="1">
      <alignment vertical="center"/>
    </xf>
    <xf numFmtId="164" fontId="18" fillId="15" borderId="0" xfId="1" applyNumberFormat="1" applyFont="1" applyFill="1" applyBorder="1">
      <alignment vertical="center"/>
    </xf>
    <xf numFmtId="166" fontId="18" fillId="15" borderId="6" xfId="3" applyNumberFormat="1" applyFont="1" applyFill="1" applyBorder="1" applyAlignment="1">
      <alignment vertical="center"/>
    </xf>
    <xf numFmtId="0" fontId="11" fillId="0" borderId="18" xfId="0" applyFont="1" applyBorder="1">
      <alignment vertical="center"/>
    </xf>
    <xf numFmtId="164" fontId="11" fillId="15" borderId="13" xfId="1" applyNumberFormat="1" applyFont="1" applyFill="1" applyBorder="1">
      <alignment vertical="center"/>
    </xf>
    <xf numFmtId="10" fontId="11" fillId="15" borderId="18" xfId="3" applyNumberFormat="1" applyFont="1" applyFill="1" applyBorder="1" applyAlignment="1">
      <alignment vertical="center"/>
    </xf>
    <xf numFmtId="10" fontId="11" fillId="3" borderId="18" xfId="3" applyNumberFormat="1" applyFont="1" applyFill="1" applyBorder="1" applyAlignment="1">
      <alignment vertical="center"/>
    </xf>
    <xf numFmtId="164" fontId="11" fillId="3" borderId="18" xfId="3" applyNumberFormat="1" applyFont="1" applyFill="1" applyBorder="1" applyAlignment="1">
      <alignment vertical="center"/>
    </xf>
    <xf numFmtId="0" fontId="18" fillId="0" borderId="18" xfId="0" applyFont="1" applyBorder="1">
      <alignment vertical="center"/>
    </xf>
    <xf numFmtId="164" fontId="18" fillId="15" borderId="18" xfId="1" applyNumberFormat="1" applyFont="1" applyFill="1" applyBorder="1">
      <alignment vertical="center"/>
    </xf>
    <xf numFmtId="9" fontId="11" fillId="0" borderId="21" xfId="3" applyFont="1" applyBorder="1" applyAlignment="1">
      <alignment vertical="center"/>
    </xf>
    <xf numFmtId="9" fontId="11" fillId="0" borderId="15" xfId="3" applyFont="1" applyBorder="1" applyAlignment="1">
      <alignment vertical="center"/>
    </xf>
    <xf numFmtId="9" fontId="18" fillId="0" borderId="21" xfId="3" applyFont="1" applyBorder="1" applyAlignment="1">
      <alignment vertical="center"/>
    </xf>
    <xf numFmtId="164" fontId="11" fillId="0" borderId="5" xfId="0" applyNumberFormat="1" applyFont="1" applyFill="1" applyBorder="1">
      <alignment vertical="center"/>
    </xf>
    <xf numFmtId="164" fontId="11" fillId="0" borderId="18" xfId="0" applyNumberFormat="1" applyFont="1" applyFill="1" applyBorder="1">
      <alignment vertical="center"/>
    </xf>
    <xf numFmtId="164" fontId="11" fillId="0" borderId="13" xfId="0" applyNumberFormat="1" applyFont="1" applyFill="1" applyBorder="1">
      <alignment vertical="center"/>
    </xf>
    <xf numFmtId="164" fontId="18" fillId="0" borderId="18" xfId="0" applyNumberFormat="1" applyFont="1" applyFill="1" applyBorder="1">
      <alignment vertical="center"/>
    </xf>
    <xf numFmtId="164" fontId="18" fillId="0" borderId="0" xfId="0" applyNumberFormat="1" applyFont="1" applyFill="1" applyBorder="1">
      <alignment vertical="center"/>
    </xf>
    <xf numFmtId="10" fontId="29" fillId="0" borderId="6" xfId="3" applyNumberFormat="1" applyFont="1" applyFill="1" applyBorder="1" applyAlignment="1">
      <alignment vertical="center"/>
    </xf>
    <xf numFmtId="164" fontId="37" fillId="5" borderId="0" xfId="1" applyNumberFormat="1" applyFont="1" applyFill="1">
      <alignment vertical="center"/>
    </xf>
    <xf numFmtId="0" fontId="14" fillId="19" borderId="20" xfId="0" applyFont="1" applyFill="1" applyBorder="1" applyAlignment="1">
      <alignment horizontal="center" vertical="center"/>
    </xf>
    <xf numFmtId="0" fontId="14" fillId="19" borderId="17" xfId="0" applyFont="1" applyFill="1" applyBorder="1" applyAlignment="1">
      <alignment horizontal="center" vertical="center"/>
    </xf>
    <xf numFmtId="0" fontId="14" fillId="19" borderId="16" xfId="0" applyFont="1" applyFill="1" applyBorder="1" applyAlignment="1">
      <alignment horizontal="center" vertical="center"/>
    </xf>
    <xf numFmtId="0" fontId="38" fillId="19" borderId="17" xfId="0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center" vertical="center"/>
    </xf>
    <xf numFmtId="0" fontId="39" fillId="19" borderId="6" xfId="0" applyFont="1" applyFill="1" applyBorder="1" applyAlignment="1">
      <alignment horizontal="center" vertical="center"/>
    </xf>
    <xf numFmtId="0" fontId="2" fillId="0" borderId="0" xfId="4"/>
    <xf numFmtId="43" fontId="0" fillId="0" borderId="0" xfId="5" applyFont="1"/>
    <xf numFmtId="6" fontId="2" fillId="0" borderId="0" xfId="4" applyNumberFormat="1"/>
    <xf numFmtId="164" fontId="0" fillId="0" borderId="0" xfId="5" applyNumberFormat="1" applyFont="1"/>
    <xf numFmtId="44" fontId="0" fillId="0" borderId="0" xfId="6" applyFont="1"/>
    <xf numFmtId="0" fontId="2" fillId="0" borderId="0" xfId="4" quotePrefix="1"/>
    <xf numFmtId="0" fontId="29" fillId="0" borderId="0" xfId="0" applyFont="1" applyFill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indent="1"/>
    </xf>
    <xf numFmtId="0" fontId="13" fillId="19" borderId="13" xfId="0" applyFont="1" applyFill="1" applyBorder="1" applyAlignment="1">
      <alignment horizontal="center" vertical="center"/>
    </xf>
    <xf numFmtId="164" fontId="14" fillId="19" borderId="0" xfId="1" applyNumberFormat="1" applyFont="1" applyFill="1" applyAlignment="1">
      <alignment horizontal="center" vertical="center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horizontal="left" vertical="center" indent="1"/>
    </xf>
    <xf numFmtId="0" fontId="12" fillId="4" borderId="0" xfId="0" applyFont="1" applyFill="1">
      <alignment vertical="center"/>
    </xf>
    <xf numFmtId="164" fontId="12" fillId="5" borderId="0" xfId="1" applyNumberFormat="1" applyFont="1" applyFill="1" applyAlignment="1">
      <alignment horizontal="left" vertical="center" indent="1"/>
    </xf>
    <xf numFmtId="0" fontId="12" fillId="6" borderId="0" xfId="0" applyFont="1" applyFill="1">
      <alignment vertical="center"/>
    </xf>
    <xf numFmtId="0" fontId="12" fillId="7" borderId="0" xfId="0" applyFont="1" applyFill="1">
      <alignment vertical="center"/>
    </xf>
    <xf numFmtId="0" fontId="12" fillId="21" borderId="0" xfId="0" applyFont="1" applyFill="1">
      <alignment vertical="center"/>
    </xf>
    <xf numFmtId="0" fontId="12" fillId="21" borderId="0" xfId="0" applyFont="1" applyFill="1" applyAlignment="1">
      <alignment horizontal="left" vertical="center" indent="1"/>
    </xf>
    <xf numFmtId="164" fontId="0" fillId="0" borderId="0" xfId="1" applyNumberFormat="1" applyFont="1" applyFill="1">
      <alignment vertical="center"/>
    </xf>
    <xf numFmtId="43" fontId="0" fillId="0" borderId="0" xfId="1" applyFont="1" applyFill="1" applyAlignment="1">
      <alignment vertical="center"/>
    </xf>
    <xf numFmtId="44" fontId="0" fillId="0" borderId="0" xfId="2" applyFont="1" applyFill="1" applyAlignment="1">
      <alignment vertical="center"/>
    </xf>
    <xf numFmtId="166" fontId="0" fillId="0" borderId="0" xfId="3" applyNumberFormat="1" applyFont="1" applyFill="1" applyAlignment="1">
      <alignment vertical="center"/>
    </xf>
    <xf numFmtId="164" fontId="0" fillId="0" borderId="0" xfId="1" applyNumberFormat="1" applyFont="1" applyFill="1" applyAlignment="1">
      <alignment horizontal="left" vertical="center" indent="3"/>
    </xf>
    <xf numFmtId="0" fontId="28" fillId="0" borderId="0" xfId="0" applyFont="1">
      <alignment vertical="center"/>
    </xf>
    <xf numFmtId="164" fontId="3" fillId="0" borderId="0" xfId="1" applyNumberFormat="1" applyFont="1">
      <alignment vertical="center"/>
    </xf>
    <xf numFmtId="0" fontId="40" fillId="0" borderId="0" xfId="0" applyFont="1">
      <alignment vertical="center"/>
    </xf>
    <xf numFmtId="167" fontId="0" fillId="0" borderId="0" xfId="2" applyNumberFormat="1" applyFont="1" applyAlignment="1">
      <alignment vertical="center"/>
    </xf>
    <xf numFmtId="0" fontId="31" fillId="19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8" fillId="0" borderId="0" xfId="0" applyFont="1" applyFill="1" applyAlignment="1">
      <alignment horizontal="center" vertical="center"/>
    </xf>
    <xf numFmtId="10" fontId="18" fillId="0" borderId="0" xfId="3" applyNumberFormat="1" applyFont="1" applyFill="1" applyAlignment="1">
      <alignment vertical="center"/>
    </xf>
    <xf numFmtId="0" fontId="14" fillId="19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44" fontId="0" fillId="0" borderId="0" xfId="0" applyNumberFormat="1" applyFill="1">
      <alignment vertical="center"/>
    </xf>
    <xf numFmtId="165" fontId="23" fillId="0" borderId="0" xfId="1" applyNumberFormat="1" applyFont="1" applyFill="1">
      <alignment vertical="center"/>
    </xf>
    <xf numFmtId="164" fontId="18" fillId="0" borderId="0" xfId="0" applyNumberFormat="1" applyFont="1">
      <alignment vertical="center"/>
    </xf>
    <xf numFmtId="10" fontId="18" fillId="0" borderId="0" xfId="3" applyNumberFormat="1" applyFont="1" applyAlignment="1">
      <alignment vertical="center"/>
    </xf>
    <xf numFmtId="43" fontId="11" fillId="4" borderId="0" xfId="1" applyNumberFormat="1" applyFont="1" applyFill="1">
      <alignment vertical="center"/>
    </xf>
    <xf numFmtId="43" fontId="11" fillId="3" borderId="0" xfId="1" applyNumberFormat="1" applyFont="1" applyFill="1">
      <alignment vertical="center"/>
    </xf>
    <xf numFmtId="43" fontId="11" fillId="5" borderId="0" xfId="1" applyNumberFormat="1" applyFont="1" applyFill="1">
      <alignment vertical="center"/>
    </xf>
    <xf numFmtId="0" fontId="24" fillId="0" borderId="0" xfId="0" applyFont="1">
      <alignment vertical="center"/>
    </xf>
    <xf numFmtId="0" fontId="13" fillId="19" borderId="0" xfId="0" applyFont="1" applyFill="1" applyAlignment="1">
      <alignment horizontal="right" vertical="center"/>
    </xf>
    <xf numFmtId="9" fontId="16" fillId="19" borderId="0" xfId="3" applyFont="1" applyFill="1" applyAlignment="1">
      <alignment vertical="center"/>
    </xf>
    <xf numFmtId="43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14" fillId="19" borderId="0" xfId="0" applyFont="1" applyFill="1" applyAlignment="1">
      <alignment horizontal="left" vertical="center"/>
    </xf>
    <xf numFmtId="43" fontId="11" fillId="0" borderId="1" xfId="1" applyFont="1" applyBorder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43" fontId="11" fillId="0" borderId="0" xfId="1" applyFont="1" applyFill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67" fontId="16" fillId="0" borderId="5" xfId="2" applyNumberFormat="1" applyFont="1" applyBorder="1" applyAlignment="1">
      <alignment vertical="center"/>
    </xf>
    <xf numFmtId="167" fontId="16" fillId="0" borderId="7" xfId="2" applyNumberFormat="1" applyFont="1" applyBorder="1" applyAlignment="1">
      <alignment vertical="center"/>
    </xf>
    <xf numFmtId="167" fontId="16" fillId="0" borderId="9" xfId="2" applyNumberFormat="1" applyFont="1" applyBorder="1" applyAlignment="1">
      <alignment vertical="center"/>
    </xf>
    <xf numFmtId="0" fontId="13" fillId="19" borderId="22" xfId="0" applyFont="1" applyFill="1" applyBorder="1" applyAlignment="1">
      <alignment horizontal="left" vertical="center" wrapText="1"/>
    </xf>
    <xf numFmtId="0" fontId="11" fillId="0" borderId="23" xfId="0" applyFont="1" applyBorder="1">
      <alignment vertical="center"/>
    </xf>
    <xf numFmtId="0" fontId="11" fillId="0" borderId="24" xfId="0" applyFont="1" applyBorder="1">
      <alignment vertical="center"/>
    </xf>
    <xf numFmtId="10" fontId="16" fillId="0" borderId="5" xfId="3" applyNumberFormat="1" applyFont="1" applyBorder="1" applyAlignment="1">
      <alignment vertical="center"/>
    </xf>
    <xf numFmtId="10" fontId="16" fillId="0" borderId="7" xfId="3" applyNumberFormat="1" applyFont="1" applyBorder="1" applyAlignment="1">
      <alignment vertical="center"/>
    </xf>
    <xf numFmtId="0" fontId="12" fillId="15" borderId="1" xfId="0" applyFont="1" applyFill="1" applyBorder="1" applyAlignment="1">
      <alignment horizontal="left" vertical="center"/>
    </xf>
    <xf numFmtId="10" fontId="16" fillId="0" borderId="0" xfId="3" applyNumberFormat="1" applyFont="1" applyFill="1" applyAlignment="1">
      <alignment vertical="center"/>
    </xf>
    <xf numFmtId="0" fontId="11" fillId="0" borderId="5" xfId="0" applyFont="1" applyFill="1" applyBorder="1">
      <alignment vertical="center"/>
    </xf>
    <xf numFmtId="0" fontId="16" fillId="0" borderId="5" xfId="0" applyFont="1" applyFill="1" applyBorder="1">
      <alignment vertical="center"/>
    </xf>
    <xf numFmtId="164" fontId="14" fillId="19" borderId="10" xfId="1" applyNumberFormat="1" applyFont="1" applyFill="1" applyBorder="1" applyAlignment="1">
      <alignment horizontal="center" vertical="center"/>
    </xf>
    <xf numFmtId="164" fontId="14" fillId="19" borderId="11" xfId="1" applyNumberFormat="1" applyFont="1" applyFill="1" applyBorder="1" applyAlignment="1">
      <alignment horizontal="center" vertical="center"/>
    </xf>
    <xf numFmtId="164" fontId="14" fillId="19" borderId="12" xfId="1" applyNumberFormat="1" applyFont="1" applyFill="1" applyBorder="1" applyAlignment="1">
      <alignment horizontal="center" vertical="center"/>
    </xf>
    <xf numFmtId="10" fontId="11" fillId="0" borderId="5" xfId="3" applyNumberFormat="1" applyFont="1" applyBorder="1" applyAlignment="1">
      <alignment vertical="center"/>
    </xf>
    <xf numFmtId="164" fontId="11" fillId="0" borderId="0" xfId="1" applyNumberFormat="1" applyFont="1" applyBorder="1">
      <alignment vertical="center"/>
    </xf>
    <xf numFmtId="10" fontId="11" fillId="0" borderId="0" xfId="3" applyNumberFormat="1" applyFont="1" applyBorder="1" applyAlignment="1">
      <alignment vertical="center"/>
    </xf>
    <xf numFmtId="10" fontId="11" fillId="0" borderId="6" xfId="3" applyNumberFormat="1" applyFont="1" applyBorder="1" applyAlignment="1">
      <alignment vertical="center"/>
    </xf>
    <xf numFmtId="10" fontId="11" fillId="0" borderId="7" xfId="3" applyNumberFormat="1" applyFont="1" applyBorder="1" applyAlignment="1">
      <alignment vertical="center"/>
    </xf>
    <xf numFmtId="10" fontId="12" fillId="0" borderId="0" xfId="3" applyNumberFormat="1" applyFont="1" applyAlignment="1">
      <alignment vertical="center"/>
    </xf>
    <xf numFmtId="10" fontId="41" fillId="0" borderId="0" xfId="3" applyNumberFormat="1" applyFont="1" applyFill="1" applyAlignment="1">
      <alignment vertical="center"/>
    </xf>
    <xf numFmtId="0" fontId="24" fillId="0" borderId="0" xfId="0" applyFont="1" applyFill="1">
      <alignment vertical="center"/>
    </xf>
    <xf numFmtId="165" fontId="22" fillId="0" borderId="0" xfId="1" applyNumberFormat="1" applyFont="1" applyFill="1">
      <alignment vertical="center"/>
    </xf>
    <xf numFmtId="166" fontId="24" fillId="0" borderId="0" xfId="3" applyNumberFormat="1" applyFont="1" applyFill="1" applyAlignment="1">
      <alignment vertical="center"/>
    </xf>
    <xf numFmtId="165" fontId="36" fillId="19" borderId="0" xfId="1" applyNumberFormat="1" applyFont="1" applyFill="1">
      <alignment vertical="center"/>
    </xf>
    <xf numFmtId="0" fontId="15" fillId="0" borderId="0" xfId="0" applyFont="1">
      <alignment vertical="center"/>
    </xf>
    <xf numFmtId="167" fontId="16" fillId="0" borderId="0" xfId="2" applyNumberFormat="1" applyFont="1" applyFill="1" applyBorder="1" applyAlignment="1">
      <alignment horizontal="left" vertical="center"/>
    </xf>
    <xf numFmtId="0" fontId="32" fillId="0" borderId="0" xfId="0" applyFont="1" applyFill="1">
      <alignment vertical="center"/>
    </xf>
    <xf numFmtId="0" fontId="42" fillId="0" borderId="0" xfId="7">
      <alignment horizontal="right"/>
    </xf>
    <xf numFmtId="44" fontId="0" fillId="0" borderId="0" xfId="8" applyFont="1" applyAlignment="1">
      <alignment horizontal="right"/>
    </xf>
    <xf numFmtId="14" fontId="0" fillId="0" borderId="0" xfId="9" applyFont="1">
      <alignment horizontal="right"/>
    </xf>
    <xf numFmtId="1" fontId="0" fillId="0" borderId="0" xfId="10" applyFont="1">
      <alignment horizontal="right"/>
    </xf>
    <xf numFmtId="0" fontId="0" fillId="0" borderId="0" xfId="11" applyFont="1">
      <alignment horizontal="center" wrapText="1"/>
    </xf>
    <xf numFmtId="44" fontId="0" fillId="23" borderId="25" xfId="8" applyFont="1" applyFill="1" applyBorder="1" applyAlignment="1">
      <alignment horizontal="right"/>
    </xf>
    <xf numFmtId="1" fontId="0" fillId="23" borderId="25" xfId="10" applyFont="1" applyFill="1" applyBorder="1">
      <alignment horizontal="right"/>
    </xf>
    <xf numFmtId="0" fontId="0" fillId="0" borderId="0" xfId="12" applyFont="1">
      <alignment horizontal="left" indent="5"/>
    </xf>
    <xf numFmtId="14" fontId="0" fillId="0" borderId="27" xfId="9" applyFont="1" applyBorder="1">
      <alignment horizontal="right"/>
    </xf>
    <xf numFmtId="0" fontId="43" fillId="0" borderId="30" xfId="15">
      <alignment horizontal="left"/>
    </xf>
    <xf numFmtId="0" fontId="43" fillId="0" borderId="30" xfId="15" applyFill="1">
      <alignment horizontal="left"/>
    </xf>
    <xf numFmtId="167" fontId="0" fillId="23" borderId="25" xfId="8" applyNumberFormat="1" applyFont="1" applyFill="1" applyBorder="1" applyAlignment="1">
      <alignment horizontal="right"/>
    </xf>
    <xf numFmtId="167" fontId="44" fillId="0" borderId="27" xfId="8" applyNumberFormat="1" applyFont="1" applyBorder="1" applyAlignment="1">
      <alignment horizontal="right"/>
    </xf>
    <xf numFmtId="10" fontId="44" fillId="0" borderId="27" xfId="3" applyNumberFormat="1" applyFont="1" applyBorder="1" applyAlignment="1">
      <alignment horizontal="right"/>
    </xf>
    <xf numFmtId="1" fontId="44" fillId="0" borderId="27" xfId="10" applyFont="1" applyBorder="1">
      <alignment horizontal="right"/>
    </xf>
    <xf numFmtId="0" fontId="42" fillId="0" borderId="0" xfId="12">
      <alignment horizontal="left" indent="5"/>
    </xf>
    <xf numFmtId="0" fontId="42" fillId="0" borderId="0" xfId="12" applyBorder="1">
      <alignment horizontal="left" indent="5"/>
    </xf>
    <xf numFmtId="167" fontId="0" fillId="23" borderId="0" xfId="8" applyNumberFormat="1" applyFont="1" applyFill="1" applyBorder="1" applyAlignment="1">
      <alignment horizontal="right"/>
    </xf>
    <xf numFmtId="167" fontId="42" fillId="0" borderId="0" xfId="7" applyNumberFormat="1">
      <alignment horizontal="right"/>
    </xf>
    <xf numFmtId="0" fontId="42" fillId="0" borderId="0" xfId="12" applyAlignment="1"/>
    <xf numFmtId="0" fontId="42" fillId="0" borderId="0" xfId="7" applyAlignment="1"/>
    <xf numFmtId="167" fontId="23" fillId="0" borderId="0" xfId="2" applyNumberFormat="1" applyFont="1" applyFill="1" applyAlignment="1">
      <alignment horizontal="left" vertical="center" indent="3"/>
    </xf>
    <xf numFmtId="167" fontId="23" fillId="0" borderId="0" xfId="2" applyNumberFormat="1" applyFont="1" applyFill="1" applyAlignment="1">
      <alignment horizontal="left" vertical="center" indent="1"/>
    </xf>
    <xf numFmtId="167" fontId="45" fillId="23" borderId="0" xfId="8" applyNumberFormat="1" applyFont="1" applyFill="1" applyBorder="1" applyAlignment="1">
      <alignment horizontal="right"/>
    </xf>
    <xf numFmtId="0" fontId="45" fillId="0" borderId="0" xfId="7" applyFont="1">
      <alignment horizontal="right"/>
    </xf>
    <xf numFmtId="164" fontId="45" fillId="23" borderId="0" xfId="1" applyNumberFormat="1" applyFont="1" applyFill="1" applyBorder="1" applyAlignment="1">
      <alignment horizontal="right"/>
    </xf>
    <xf numFmtId="164" fontId="45" fillId="0" borderId="0" xfId="1" applyNumberFormat="1" applyFont="1" applyAlignment="1">
      <alignment horizontal="right"/>
    </xf>
    <xf numFmtId="167" fontId="32" fillId="0" borderId="0" xfId="0" applyNumberFormat="1" applyFont="1" applyFill="1">
      <alignment vertical="center"/>
    </xf>
    <xf numFmtId="0" fontId="47" fillId="0" borderId="0" xfId="16" applyFont="1"/>
    <xf numFmtId="0" fontId="47" fillId="0" borderId="0" xfId="16" applyFont="1" applyAlignment="1">
      <alignment horizontal="center"/>
    </xf>
    <xf numFmtId="0" fontId="47" fillId="0" borderId="0" xfId="16" applyFont="1" applyFill="1"/>
    <xf numFmtId="0" fontId="47" fillId="0" borderId="0" xfId="16" applyFont="1" applyFill="1" applyAlignment="1">
      <alignment horizontal="center"/>
    </xf>
    <xf numFmtId="0" fontId="47" fillId="0" borderId="0" xfId="16" applyFont="1" applyBorder="1"/>
    <xf numFmtId="0" fontId="48" fillId="0" borderId="1" xfId="16" applyFont="1" applyBorder="1" applyAlignment="1">
      <alignment horizontal="right"/>
    </xf>
    <xf numFmtId="0" fontId="48" fillId="0" borderId="1" xfId="16" applyFont="1" applyBorder="1"/>
    <xf numFmtId="0" fontId="47" fillId="0" borderId="33" xfId="16" applyFont="1" applyBorder="1"/>
    <xf numFmtId="0" fontId="47" fillId="0" borderId="32" xfId="16" applyFont="1" applyBorder="1" applyAlignment="1">
      <alignment horizontal="right"/>
    </xf>
    <xf numFmtId="0" fontId="47" fillId="0" borderId="32" xfId="16" applyFont="1" applyBorder="1"/>
    <xf numFmtId="0" fontId="48" fillId="0" borderId="34" xfId="16" applyFont="1" applyBorder="1" applyAlignment="1"/>
    <xf numFmtId="0" fontId="48" fillId="0" borderId="34" xfId="16" applyFont="1" applyBorder="1"/>
    <xf numFmtId="0" fontId="47" fillId="0" borderId="33" xfId="16" applyFont="1" applyBorder="1" applyAlignment="1">
      <alignment horizontal="right"/>
    </xf>
    <xf numFmtId="0" fontId="47" fillId="0" borderId="32" xfId="16" applyFont="1" applyFill="1" applyBorder="1" applyAlignment="1"/>
    <xf numFmtId="0" fontId="47" fillId="0" borderId="32" xfId="16" applyFont="1" applyFill="1" applyBorder="1" applyAlignment="1">
      <alignment horizontal="right"/>
    </xf>
    <xf numFmtId="0" fontId="47" fillId="0" borderId="39" xfId="16" applyFont="1" applyBorder="1" applyAlignment="1">
      <alignment horizontal="right" vertical="center"/>
    </xf>
    <xf numFmtId="0" fontId="47" fillId="0" borderId="34" xfId="16" applyFont="1" applyBorder="1"/>
    <xf numFmtId="0" fontId="47" fillId="0" borderId="36" xfId="16" applyFont="1" applyBorder="1" applyAlignment="1">
      <alignment horizontal="right"/>
    </xf>
    <xf numFmtId="0" fontId="47" fillId="0" borderId="0" xfId="16" applyFont="1" applyAlignment="1">
      <alignment wrapText="1"/>
    </xf>
    <xf numFmtId="0" fontId="47" fillId="0" borderId="0" xfId="16" applyFont="1" applyAlignment="1">
      <alignment vertical="center"/>
    </xf>
    <xf numFmtId="0" fontId="47" fillId="0" borderId="0" xfId="16" applyFont="1" applyBorder="1" applyAlignment="1">
      <alignment vertical="center"/>
    </xf>
    <xf numFmtId="0" fontId="47" fillId="0" borderId="33" xfId="16" applyFont="1" applyFill="1" applyBorder="1"/>
    <xf numFmtId="0" fontId="47" fillId="0" borderId="33" xfId="16" applyFont="1" applyBorder="1" applyAlignment="1"/>
    <xf numFmtId="0" fontId="47" fillId="0" borderId="40" xfId="16" applyFont="1" applyFill="1" applyBorder="1"/>
    <xf numFmtId="0" fontId="47" fillId="0" borderId="1" xfId="16" applyFont="1" applyBorder="1" applyAlignment="1">
      <alignment horizontal="center"/>
    </xf>
    <xf numFmtId="0" fontId="47" fillId="0" borderId="32" xfId="16" applyFont="1" applyFill="1" applyBorder="1"/>
    <xf numFmtId="0" fontId="47" fillId="0" borderId="41" xfId="16" applyFont="1" applyFill="1" applyBorder="1"/>
    <xf numFmtId="0" fontId="47" fillId="0" borderId="42" xfId="16" applyFont="1" applyBorder="1" applyAlignment="1">
      <alignment horizontal="center"/>
    </xf>
    <xf numFmtId="0" fontId="47" fillId="0" borderId="32" xfId="16" applyFont="1" applyBorder="1" applyAlignment="1">
      <alignment horizontal="center"/>
    </xf>
    <xf numFmtId="0" fontId="47" fillId="0" borderId="32" xfId="16" applyNumberFormat="1" applyFont="1" applyFill="1" applyBorder="1"/>
    <xf numFmtId="0" fontId="47" fillId="0" borderId="32" xfId="16" applyFont="1" applyBorder="1" applyAlignment="1"/>
    <xf numFmtId="0" fontId="47" fillId="0" borderId="41" xfId="16" applyNumberFormat="1" applyFont="1" applyFill="1" applyBorder="1"/>
    <xf numFmtId="0" fontId="47" fillId="0" borderId="36" xfId="16" applyFont="1" applyFill="1" applyBorder="1"/>
    <xf numFmtId="0" fontId="47" fillId="0" borderId="43" xfId="16" applyFont="1" applyFill="1" applyBorder="1"/>
    <xf numFmtId="0" fontId="47" fillId="0" borderId="36" xfId="16" applyFont="1" applyBorder="1" applyAlignment="1">
      <alignment horizontal="center"/>
    </xf>
    <xf numFmtId="0" fontId="48" fillId="0" borderId="36" xfId="16" applyFont="1" applyBorder="1"/>
    <xf numFmtId="0" fontId="47" fillId="0" borderId="33" xfId="16" applyFont="1" applyBorder="1" applyAlignment="1">
      <alignment horizontal="center"/>
    </xf>
    <xf numFmtId="0" fontId="47" fillId="0" borderId="35" xfId="16" applyFont="1" applyFill="1" applyBorder="1"/>
    <xf numFmtId="0" fontId="47" fillId="0" borderId="44" xfId="16" applyFont="1" applyFill="1" applyBorder="1"/>
    <xf numFmtId="0" fontId="47" fillId="0" borderId="36" xfId="16" applyFont="1" applyBorder="1"/>
    <xf numFmtId="0" fontId="47" fillId="0" borderId="34" xfId="16" applyFont="1" applyBorder="1" applyAlignment="1"/>
    <xf numFmtId="0" fontId="47" fillId="0" borderId="43" xfId="16" applyFont="1" applyBorder="1"/>
    <xf numFmtId="0" fontId="48" fillId="0" borderId="1" xfId="16" applyFont="1" applyBorder="1" applyAlignment="1">
      <alignment horizontal="center"/>
    </xf>
    <xf numFmtId="0" fontId="48" fillId="0" borderId="45" xfId="16" applyFont="1" applyBorder="1" applyAlignment="1">
      <alignment horizontal="center"/>
    </xf>
    <xf numFmtId="0" fontId="48" fillId="0" borderId="0" xfId="16" applyFont="1" applyBorder="1" applyAlignment="1">
      <alignment horizontal="left" vertical="center"/>
    </xf>
    <xf numFmtId="0" fontId="48" fillId="0" borderId="0" xfId="16" applyFont="1" applyBorder="1" applyAlignment="1">
      <alignment horizontal="right" vertical="center"/>
    </xf>
    <xf numFmtId="0" fontId="47" fillId="0" borderId="1" xfId="16" applyFont="1" applyFill="1" applyBorder="1"/>
    <xf numFmtId="0" fontId="47" fillId="0" borderId="31" xfId="16" applyFont="1" applyFill="1" applyBorder="1"/>
    <xf numFmtId="0" fontId="47" fillId="0" borderId="14" xfId="16" applyFont="1" applyFill="1" applyBorder="1" applyAlignment="1"/>
    <xf numFmtId="0" fontId="48" fillId="0" borderId="31" xfId="16" applyFont="1" applyFill="1" applyBorder="1"/>
    <xf numFmtId="0" fontId="48" fillId="0" borderId="1" xfId="16" applyFont="1" applyBorder="1" applyAlignment="1">
      <alignment horizontal="left"/>
    </xf>
    <xf numFmtId="0" fontId="47" fillId="0" borderId="34" xfId="16" applyFont="1" applyFill="1" applyBorder="1" applyAlignment="1"/>
    <xf numFmtId="0" fontId="48" fillId="0" borderId="31" xfId="16" applyFont="1" applyBorder="1"/>
    <xf numFmtId="9" fontId="47" fillId="0" borderId="32" xfId="16" applyNumberFormat="1" applyFont="1" applyBorder="1" applyAlignment="1">
      <alignment horizontal="center"/>
    </xf>
    <xf numFmtId="0" fontId="47" fillId="0" borderId="34" xfId="16" applyFont="1" applyFill="1" applyBorder="1"/>
    <xf numFmtId="0" fontId="48" fillId="0" borderId="34" xfId="16" applyFont="1" applyBorder="1" applyAlignment="1">
      <alignment horizontal="center"/>
    </xf>
    <xf numFmtId="0" fontId="47" fillId="7" borderId="0" xfId="16" applyFont="1" applyFill="1"/>
    <xf numFmtId="0" fontId="47" fillId="7" borderId="0" xfId="16" applyFont="1" applyFill="1" applyBorder="1"/>
    <xf numFmtId="0" fontId="47" fillId="7" borderId="36" xfId="16" applyFont="1" applyFill="1" applyBorder="1" applyAlignment="1"/>
    <xf numFmtId="0" fontId="47" fillId="7" borderId="0" xfId="16" applyFont="1" applyFill="1" applyBorder="1" applyAlignment="1">
      <alignment horizontal="center"/>
    </xf>
    <xf numFmtId="0" fontId="48" fillId="7" borderId="0" xfId="16" applyFont="1" applyFill="1" applyBorder="1" applyAlignment="1">
      <alignment horizontal="left"/>
    </xf>
    <xf numFmtId="0" fontId="47" fillId="0" borderId="36" xfId="16" applyFont="1" applyFill="1" applyBorder="1" applyAlignment="1"/>
    <xf numFmtId="0" fontId="47" fillId="0" borderId="35" xfId="16" applyFont="1" applyBorder="1" applyAlignment="1">
      <alignment horizontal="right"/>
    </xf>
    <xf numFmtId="0" fontId="48" fillId="0" borderId="36" xfId="16" applyFont="1" applyBorder="1" applyAlignment="1">
      <alignment horizontal="center"/>
    </xf>
    <xf numFmtId="0" fontId="47" fillId="7" borderId="31" xfId="16" applyFont="1" applyFill="1" applyBorder="1"/>
    <xf numFmtId="0" fontId="47" fillId="7" borderId="31" xfId="16" applyFont="1" applyFill="1" applyBorder="1" applyAlignment="1"/>
    <xf numFmtId="0" fontId="47" fillId="7" borderId="31" xfId="16" applyFont="1" applyFill="1" applyBorder="1" applyAlignment="1">
      <alignment horizontal="center"/>
    </xf>
    <xf numFmtId="0" fontId="48" fillId="7" borderId="31" xfId="16" applyFont="1" applyFill="1" applyBorder="1" applyAlignment="1">
      <alignment horizontal="left"/>
    </xf>
    <xf numFmtId="0" fontId="48" fillId="7" borderId="46" xfId="16" applyFont="1" applyFill="1" applyBorder="1" applyAlignment="1">
      <alignment horizontal="left"/>
    </xf>
    <xf numFmtId="0" fontId="47" fillId="0" borderId="0" xfId="16" applyFont="1" applyFill="1" applyBorder="1" applyAlignment="1"/>
    <xf numFmtId="0" fontId="48" fillId="0" borderId="0" xfId="16" applyFont="1" applyBorder="1" applyAlignment="1">
      <alignment horizontal="left"/>
    </xf>
    <xf numFmtId="0" fontId="47" fillId="0" borderId="14" xfId="16" applyFont="1" applyBorder="1"/>
    <xf numFmtId="0" fontId="51" fillId="24" borderId="47" xfId="16" applyFont="1" applyFill="1" applyBorder="1" applyAlignment="1">
      <alignment horizontal="left" vertical="center"/>
    </xf>
    <xf numFmtId="0" fontId="51" fillId="24" borderId="46" xfId="16" applyFont="1" applyFill="1" applyBorder="1" applyAlignment="1">
      <alignment horizontal="right" vertical="center"/>
    </xf>
    <xf numFmtId="0" fontId="47" fillId="0" borderId="35" xfId="16" applyFont="1" applyFill="1" applyBorder="1" applyAlignment="1">
      <alignment horizontal="center"/>
    </xf>
    <xf numFmtId="0" fontId="47" fillId="0" borderId="0" xfId="16" applyFont="1" applyFill="1" applyBorder="1" applyAlignment="1">
      <alignment horizontal="center"/>
    </xf>
    <xf numFmtId="0" fontId="47" fillId="0" borderId="36" xfId="16" applyFont="1" applyFill="1" applyBorder="1" applyAlignment="1">
      <alignment horizontal="center"/>
    </xf>
    <xf numFmtId="0" fontId="47" fillId="0" borderId="33" xfId="16" applyFont="1" applyFill="1" applyBorder="1" applyAlignment="1"/>
    <xf numFmtId="0" fontId="47" fillId="0" borderId="31" xfId="16" applyFont="1" applyFill="1" applyBorder="1" applyAlignment="1"/>
    <xf numFmtId="0" fontId="48" fillId="0" borderId="1" xfId="16" applyFont="1" applyBorder="1" applyAlignment="1">
      <alignment horizontal="center" wrapText="1"/>
    </xf>
    <xf numFmtId="167" fontId="47" fillId="0" borderId="32" xfId="2" applyNumberFormat="1" applyFont="1" applyBorder="1" applyAlignment="1">
      <alignment horizontal="center"/>
    </xf>
    <xf numFmtId="167" fontId="47" fillId="0" borderId="1" xfId="16" applyNumberFormat="1" applyFont="1" applyBorder="1" applyAlignment="1">
      <alignment horizontal="center"/>
    </xf>
    <xf numFmtId="167" fontId="47" fillId="0" borderId="0" xfId="2" applyNumberFormat="1" applyFont="1" applyBorder="1" applyAlignment="1">
      <alignment horizontal="center"/>
    </xf>
    <xf numFmtId="0" fontId="48" fillId="0" borderId="33" xfId="16" applyFont="1" applyBorder="1" applyAlignment="1"/>
    <xf numFmtId="167" fontId="47" fillId="0" borderId="31" xfId="2" applyNumberFormat="1" applyFont="1" applyFill="1" applyBorder="1" applyAlignment="1"/>
    <xf numFmtId="167" fontId="47" fillId="0" borderId="32" xfId="16" applyNumberFormat="1" applyFont="1" applyBorder="1" applyAlignment="1">
      <alignment horizontal="center"/>
    </xf>
    <xf numFmtId="0" fontId="47" fillId="0" borderId="35" xfId="16" applyFont="1" applyFill="1" applyBorder="1" applyAlignment="1"/>
    <xf numFmtId="167" fontId="47" fillId="0" borderId="32" xfId="16" applyNumberFormat="1" applyFont="1" applyBorder="1" applyAlignment="1"/>
    <xf numFmtId="167" fontId="47" fillId="0" borderId="32" xfId="2" applyNumberFormat="1" applyFont="1" applyBorder="1" applyAlignment="1"/>
    <xf numFmtId="167" fontId="47" fillId="0" borderId="1" xfId="2" applyNumberFormat="1" applyFont="1" applyBorder="1" applyAlignment="1">
      <alignment horizontal="center"/>
    </xf>
    <xf numFmtId="6" fontId="47" fillId="0" borderId="31" xfId="16" applyNumberFormat="1" applyFont="1" applyBorder="1" applyAlignment="1">
      <alignment horizontal="center"/>
    </xf>
    <xf numFmtId="10" fontId="47" fillId="0" borderId="1" xfId="16" applyNumberFormat="1" applyFont="1" applyBorder="1" applyAlignment="1">
      <alignment horizontal="center"/>
    </xf>
    <xf numFmtId="166" fontId="47" fillId="0" borderId="1" xfId="3" applyNumberFormat="1" applyFont="1" applyBorder="1" applyAlignment="1">
      <alignment horizontal="center"/>
    </xf>
    <xf numFmtId="1" fontId="47" fillId="0" borderId="41" xfId="16" applyNumberFormat="1" applyFont="1" applyFill="1" applyBorder="1"/>
    <xf numFmtId="164" fontId="47" fillId="0" borderId="41" xfId="1" applyNumberFormat="1" applyFont="1" applyFill="1" applyBorder="1" applyAlignment="1"/>
    <xf numFmtId="164" fontId="47" fillId="0" borderId="40" xfId="16" applyNumberFormat="1" applyFont="1" applyFill="1" applyBorder="1"/>
    <xf numFmtId="167" fontId="47" fillId="0" borderId="0" xfId="16" applyNumberFormat="1" applyFont="1" applyBorder="1" applyAlignment="1">
      <alignment horizontal="center"/>
    </xf>
    <xf numFmtId="164" fontId="47" fillId="0" borderId="40" xfId="16" applyNumberFormat="1" applyFont="1" applyFill="1" applyBorder="1" applyAlignment="1"/>
    <xf numFmtId="1" fontId="47" fillId="0" borderId="41" xfId="16" applyNumberFormat="1" applyFont="1" applyFill="1" applyBorder="1" applyAlignment="1"/>
    <xf numFmtId="0" fontId="48" fillId="15" borderId="1" xfId="16" applyFont="1" applyFill="1" applyBorder="1" applyAlignment="1">
      <alignment horizontal="center"/>
    </xf>
    <xf numFmtId="0" fontId="47" fillId="15" borderId="36" xfId="16" applyFont="1" applyFill="1" applyBorder="1"/>
    <xf numFmtId="167" fontId="47" fillId="15" borderId="32" xfId="2" applyNumberFormat="1" applyFont="1" applyFill="1" applyBorder="1" applyAlignment="1">
      <alignment horizontal="center"/>
    </xf>
    <xf numFmtId="167" fontId="47" fillId="15" borderId="1" xfId="16" applyNumberFormat="1" applyFont="1" applyFill="1" applyBorder="1" applyAlignment="1">
      <alignment horizontal="center"/>
    </xf>
    <xf numFmtId="0" fontId="47" fillId="15" borderId="1" xfId="16" applyFont="1" applyFill="1" applyBorder="1"/>
    <xf numFmtId="167" fontId="47" fillId="15" borderId="0" xfId="16" applyNumberFormat="1" applyFont="1" applyFill="1" applyBorder="1" applyAlignment="1">
      <alignment horizontal="center"/>
    </xf>
    <xf numFmtId="0" fontId="47" fillId="15" borderId="31" xfId="16" applyFont="1" applyFill="1" applyBorder="1"/>
    <xf numFmtId="167" fontId="47" fillId="15" borderId="0" xfId="2" applyNumberFormat="1" applyFont="1" applyFill="1" applyBorder="1" applyAlignment="1">
      <alignment horizontal="center"/>
    </xf>
    <xf numFmtId="0" fontId="47" fillId="15" borderId="0" xfId="16" applyFont="1" applyFill="1" applyBorder="1"/>
    <xf numFmtId="0" fontId="47" fillId="15" borderId="34" xfId="16" applyFont="1" applyFill="1" applyBorder="1"/>
    <xf numFmtId="167" fontId="47" fillId="15" borderId="32" xfId="16" applyNumberFormat="1" applyFont="1" applyFill="1" applyBorder="1" applyAlignment="1">
      <alignment horizontal="center"/>
    </xf>
    <xf numFmtId="0" fontId="47" fillId="15" borderId="32" xfId="16" applyFont="1" applyFill="1" applyBorder="1"/>
    <xf numFmtId="167" fontId="47" fillId="15" borderId="1" xfId="2" applyNumberFormat="1" applyFont="1" applyFill="1" applyBorder="1" applyAlignment="1">
      <alignment horizontal="center"/>
    </xf>
    <xf numFmtId="0" fontId="48" fillId="15" borderId="16" xfId="16" applyFont="1" applyFill="1" applyBorder="1"/>
    <xf numFmtId="0" fontId="48" fillId="15" borderId="46" xfId="16" applyFont="1" applyFill="1" applyBorder="1"/>
    <xf numFmtId="1" fontId="47" fillId="15" borderId="41" xfId="16" applyNumberFormat="1" applyFont="1" applyFill="1" applyBorder="1"/>
    <xf numFmtId="164" fontId="47" fillId="15" borderId="41" xfId="1" applyNumberFormat="1" applyFont="1" applyFill="1" applyBorder="1" applyAlignment="1"/>
    <xf numFmtId="0" fontId="47" fillId="15" borderId="35" xfId="16" applyFont="1" applyFill="1" applyBorder="1"/>
    <xf numFmtId="0" fontId="47" fillId="15" borderId="33" xfId="16" applyFont="1" applyFill="1" applyBorder="1"/>
    <xf numFmtId="0" fontId="47" fillId="15" borderId="32" xfId="16" applyNumberFormat="1" applyFont="1" applyFill="1" applyBorder="1"/>
    <xf numFmtId="164" fontId="47" fillId="15" borderId="40" xfId="16" applyNumberFormat="1" applyFont="1" applyFill="1" applyBorder="1"/>
    <xf numFmtId="0" fontId="47" fillId="15" borderId="47" xfId="16" applyFont="1" applyFill="1" applyBorder="1"/>
    <xf numFmtId="0" fontId="47" fillId="15" borderId="19" xfId="16" applyFont="1" applyFill="1" applyBorder="1"/>
    <xf numFmtId="0" fontId="47" fillId="15" borderId="0" xfId="16" applyFont="1" applyFill="1"/>
    <xf numFmtId="0" fontId="47" fillId="0" borderId="14" xfId="16" applyFont="1" applyFill="1" applyBorder="1" applyAlignment="1">
      <alignment horizontal="left"/>
    </xf>
    <xf numFmtId="0" fontId="48" fillId="0" borderId="49" xfId="16" applyFont="1" applyFill="1" applyBorder="1"/>
    <xf numFmtId="0" fontId="48" fillId="15" borderId="45" xfId="16" applyFont="1" applyFill="1" applyBorder="1" applyAlignment="1">
      <alignment horizontal="center"/>
    </xf>
    <xf numFmtId="0" fontId="47" fillId="15" borderId="43" xfId="16" applyFont="1" applyFill="1" applyBorder="1"/>
    <xf numFmtId="0" fontId="47" fillId="15" borderId="45" xfId="16" applyFont="1" applyFill="1" applyBorder="1"/>
    <xf numFmtId="0" fontId="47" fillId="15" borderId="48" xfId="16" applyFont="1" applyFill="1" applyBorder="1"/>
    <xf numFmtId="0" fontId="47" fillId="15" borderId="50" xfId="16" applyFont="1" applyFill="1" applyBorder="1"/>
    <xf numFmtId="0" fontId="47" fillId="15" borderId="49" xfId="16" applyFont="1" applyFill="1" applyBorder="1"/>
    <xf numFmtId="0" fontId="47" fillId="15" borderId="41" xfId="16" applyFont="1" applyFill="1" applyBorder="1"/>
    <xf numFmtId="9" fontId="34" fillId="0" borderId="0" xfId="3" applyFont="1" applyAlignment="1">
      <alignment vertical="center"/>
    </xf>
    <xf numFmtId="9" fontId="32" fillId="0" borderId="0" xfId="3" applyFont="1" applyFill="1" applyAlignment="1">
      <alignment vertical="center"/>
    </xf>
    <xf numFmtId="0" fontId="51" fillId="24" borderId="0" xfId="16" applyFont="1" applyFill="1" applyAlignment="1">
      <alignment vertical="center"/>
    </xf>
    <xf numFmtId="0" fontId="49" fillId="24" borderId="0" xfId="16" applyFont="1" applyFill="1" applyAlignment="1">
      <alignment vertical="center"/>
    </xf>
    <xf numFmtId="0" fontId="47" fillId="24" borderId="0" xfId="16" applyFont="1" applyFill="1" applyAlignment="1">
      <alignment vertical="center"/>
    </xf>
    <xf numFmtId="0" fontId="47" fillId="0" borderId="34" xfId="16" applyFont="1" applyBorder="1" applyAlignment="1">
      <alignment horizontal="right"/>
    </xf>
    <xf numFmtId="0" fontId="47" fillId="0" borderId="31" xfId="16" applyFont="1" applyBorder="1" applyAlignment="1">
      <alignment horizontal="right"/>
    </xf>
    <xf numFmtId="0" fontId="13" fillId="12" borderId="0" xfId="0" applyFont="1" applyFill="1" applyAlignment="1">
      <alignment horizontal="center" vertical="center"/>
    </xf>
    <xf numFmtId="10" fontId="47" fillId="0" borderId="0" xfId="3" applyNumberFormat="1" applyFont="1"/>
    <xf numFmtId="10" fontId="47" fillId="0" borderId="32" xfId="3" applyNumberFormat="1" applyFont="1" applyBorder="1" applyAlignment="1">
      <alignment horizontal="right"/>
    </xf>
    <xf numFmtId="10" fontId="47" fillId="0" borderId="34" xfId="16" applyNumberFormat="1" applyFont="1" applyBorder="1" applyAlignment="1">
      <alignment horizontal="right"/>
    </xf>
    <xf numFmtId="0" fontId="1" fillId="0" borderId="0" xfId="4" applyFont="1"/>
    <xf numFmtId="43" fontId="2" fillId="0" borderId="0" xfId="1" applyFont="1" applyAlignment="1"/>
    <xf numFmtId="164" fontId="2" fillId="0" borderId="0" xfId="1" applyNumberFormat="1" applyFont="1" applyAlignment="1"/>
    <xf numFmtId="10" fontId="2" fillId="0" borderId="0" xfId="3" applyNumberFormat="1" applyFont="1"/>
    <xf numFmtId="0" fontId="34" fillId="0" borderId="0" xfId="0" applyFont="1" applyFill="1">
      <alignment vertical="center"/>
    </xf>
    <xf numFmtId="164" fontId="34" fillId="0" borderId="0" xfId="1" applyNumberFormat="1" applyFont="1" applyFill="1">
      <alignment vertical="center"/>
    </xf>
    <xf numFmtId="44" fontId="34" fillId="0" borderId="0" xfId="2" applyFont="1" applyFill="1" applyAlignment="1">
      <alignment vertical="center"/>
    </xf>
    <xf numFmtId="167" fontId="34" fillId="0" borderId="0" xfId="2" applyNumberFormat="1" applyFont="1" applyFill="1" applyAlignment="1">
      <alignment vertical="center"/>
    </xf>
    <xf numFmtId="9" fontId="11" fillId="3" borderId="0" xfId="3" applyNumberFormat="1" applyFont="1" applyFill="1" applyAlignment="1">
      <alignment vertical="center"/>
    </xf>
    <xf numFmtId="9" fontId="11" fillId="21" borderId="0" xfId="3" applyNumberFormat="1" applyFont="1" applyFill="1" applyAlignment="1">
      <alignment vertical="center"/>
    </xf>
    <xf numFmtId="9" fontId="11" fillId="21" borderId="0" xfId="1" applyNumberFormat="1" applyFont="1" applyFill="1">
      <alignment vertical="center"/>
    </xf>
    <xf numFmtId="167" fontId="47" fillId="0" borderId="1" xfId="2" applyNumberFormat="1" applyFont="1" applyFill="1" applyBorder="1"/>
    <xf numFmtId="167" fontId="47" fillId="0" borderId="1" xfId="16" applyNumberFormat="1" applyFont="1" applyFill="1" applyBorder="1"/>
    <xf numFmtId="167" fontId="47" fillId="0" borderId="32" xfId="2" applyNumberFormat="1" applyFont="1" applyBorder="1" applyAlignment="1">
      <alignment horizontal="right"/>
    </xf>
    <xf numFmtId="167" fontId="47" fillId="0" borderId="34" xfId="2" applyNumberFormat="1" applyFont="1" applyBorder="1" applyAlignment="1">
      <alignment horizontal="right"/>
    </xf>
    <xf numFmtId="167" fontId="47" fillId="0" borderId="31" xfId="2" applyNumberFormat="1" applyFont="1" applyBorder="1" applyAlignment="1"/>
    <xf numFmtId="167" fontId="47" fillId="0" borderId="35" xfId="2" applyNumberFormat="1" applyFont="1" applyBorder="1" applyAlignment="1">
      <alignment horizontal="right"/>
    </xf>
    <xf numFmtId="0" fontId="47" fillId="0" borderId="0" xfId="16" applyFont="1" applyBorder="1" applyAlignment="1">
      <alignment horizontal="right"/>
    </xf>
    <xf numFmtId="167" fontId="47" fillId="0" borderId="0" xfId="2" applyNumberFormat="1" applyFont="1" applyBorder="1" applyAlignment="1">
      <alignment horizontal="right"/>
    </xf>
    <xf numFmtId="0" fontId="47" fillId="0" borderId="0" xfId="16" applyFont="1" applyBorder="1" applyAlignment="1"/>
    <xf numFmtId="167" fontId="47" fillId="0" borderId="0" xfId="2" applyNumberFormat="1" applyFont="1" applyBorder="1" applyAlignment="1"/>
    <xf numFmtId="10" fontId="47" fillId="0" borderId="32" xfId="3" applyNumberFormat="1" applyFont="1" applyBorder="1" applyAlignment="1"/>
    <xf numFmtId="0" fontId="48" fillId="0" borderId="1" xfId="16" applyFont="1" applyBorder="1" applyAlignment="1">
      <alignment wrapText="1"/>
    </xf>
    <xf numFmtId="0" fontId="47" fillId="0" borderId="34" xfId="16" applyFont="1" applyBorder="1" applyAlignment="1">
      <alignment horizontal="center"/>
    </xf>
    <xf numFmtId="167" fontId="47" fillId="0" borderId="0" xfId="2" applyNumberFormat="1" applyFont="1" applyFill="1" applyBorder="1" applyAlignment="1"/>
    <xf numFmtId="0" fontId="47" fillId="0" borderId="32" xfId="16" applyFont="1" applyBorder="1" applyAlignment="1"/>
    <xf numFmtId="0" fontId="47" fillId="0" borderId="32" xfId="16" applyFont="1" applyBorder="1" applyAlignment="1">
      <alignment horizontal="right"/>
    </xf>
    <xf numFmtId="0" fontId="48" fillId="0" borderId="14" xfId="16" applyFont="1" applyFill="1" applyBorder="1" applyAlignment="1">
      <alignment horizontal="center"/>
    </xf>
    <xf numFmtId="167" fontId="47" fillId="0" borderId="0" xfId="2" applyNumberFormat="1" applyFont="1" applyFill="1" applyBorder="1" applyAlignment="1">
      <alignment horizontal="center"/>
    </xf>
    <xf numFmtId="167" fontId="47" fillId="0" borderId="1" xfId="2" applyNumberFormat="1" applyFont="1" applyFill="1" applyBorder="1" applyAlignment="1"/>
    <xf numFmtId="167" fontId="47" fillId="0" borderId="1" xfId="16" applyNumberFormat="1" applyFont="1" applyFill="1" applyBorder="1" applyAlignment="1"/>
    <xf numFmtId="0" fontId="47" fillId="0" borderId="1" xfId="16" applyFont="1" applyFill="1" applyBorder="1" applyAlignment="1"/>
    <xf numFmtId="0" fontId="47" fillId="0" borderId="1" xfId="16" applyFont="1" applyBorder="1" applyAlignment="1"/>
    <xf numFmtId="0" fontId="47" fillId="0" borderId="34" xfId="16" applyFont="1" applyBorder="1" applyAlignment="1"/>
    <xf numFmtId="0" fontId="47" fillId="0" borderId="0" xfId="16" applyFont="1" applyBorder="1" applyAlignment="1">
      <alignment horizontal="right"/>
    </xf>
    <xf numFmtId="167" fontId="47" fillId="0" borderId="0" xfId="16" applyNumberFormat="1" applyFont="1" applyFill="1" applyBorder="1" applyAlignment="1"/>
    <xf numFmtId="0" fontId="47" fillId="0" borderId="0" xfId="16" applyFont="1" applyFill="1" applyBorder="1" applyAlignment="1"/>
    <xf numFmtId="0" fontId="47" fillId="0" borderId="35" xfId="16" applyFont="1" applyBorder="1" applyAlignment="1"/>
    <xf numFmtId="167" fontId="47" fillId="0" borderId="31" xfId="16" applyNumberFormat="1" applyFont="1" applyFill="1" applyBorder="1" applyAlignment="1">
      <alignment horizontal="center"/>
    </xf>
    <xf numFmtId="0" fontId="47" fillId="0" borderId="31" xfId="16" applyFont="1" applyFill="1" applyBorder="1" applyAlignment="1">
      <alignment horizontal="center"/>
    </xf>
    <xf numFmtId="0" fontId="47" fillId="0" borderId="31" xfId="16" applyFont="1" applyBorder="1" applyAlignment="1">
      <alignment horizontal="right"/>
    </xf>
    <xf numFmtId="0" fontId="48" fillId="0" borderId="31" xfId="16" applyFont="1" applyBorder="1" applyAlignment="1">
      <alignment horizontal="left"/>
    </xf>
    <xf numFmtId="9" fontId="47" fillId="0" borderId="31" xfId="16" applyNumberFormat="1" applyFont="1" applyBorder="1" applyAlignment="1">
      <alignment horizontal="right"/>
    </xf>
    <xf numFmtId="0" fontId="48" fillId="0" borderId="31" xfId="16" applyFont="1" applyBorder="1" applyAlignment="1">
      <alignment horizontal="center"/>
    </xf>
    <xf numFmtId="167" fontId="47" fillId="0" borderId="32" xfId="2" applyNumberFormat="1" applyFont="1" applyFill="1" applyBorder="1" applyAlignment="1">
      <alignment horizontal="right"/>
    </xf>
    <xf numFmtId="0" fontId="47" fillId="0" borderId="33" xfId="16" applyFont="1" applyBorder="1" applyAlignment="1">
      <alignment horizontal="right"/>
    </xf>
    <xf numFmtId="0" fontId="47" fillId="0" borderId="32" xfId="16" applyFont="1" applyFill="1" applyBorder="1" applyAlignment="1">
      <alignment horizontal="right"/>
    </xf>
    <xf numFmtId="167" fontId="47" fillId="0" borderId="0" xfId="2" applyNumberFormat="1" applyFont="1" applyFill="1" applyBorder="1" applyAlignment="1">
      <alignment horizontal="right"/>
    </xf>
    <xf numFmtId="0" fontId="47" fillId="0" borderId="33" xfId="16" applyFont="1" applyFill="1" applyBorder="1" applyAlignment="1">
      <alignment horizontal="right"/>
    </xf>
    <xf numFmtId="167" fontId="47" fillId="0" borderId="33" xfId="2" applyNumberFormat="1" applyFont="1" applyFill="1" applyBorder="1" applyAlignment="1">
      <alignment horizontal="right"/>
    </xf>
    <xf numFmtId="0" fontId="47" fillId="0" borderId="38" xfId="16" applyFont="1" applyBorder="1" applyAlignment="1">
      <alignment horizontal="right" vertical="center"/>
    </xf>
    <xf numFmtId="0" fontId="47" fillId="0" borderId="37" xfId="16" applyFont="1" applyBorder="1" applyAlignment="1">
      <alignment horizontal="right" vertical="center"/>
    </xf>
    <xf numFmtId="0" fontId="51" fillId="24" borderId="0" xfId="16" applyFont="1" applyFill="1" applyBorder="1" applyAlignment="1">
      <alignment horizontal="left" vertical="center"/>
    </xf>
    <xf numFmtId="0" fontId="51" fillId="24" borderId="0" xfId="16" applyFont="1" applyFill="1" applyAlignment="1">
      <alignment vertical="center"/>
    </xf>
    <xf numFmtId="0" fontId="48" fillId="0" borderId="36" xfId="16" applyFont="1" applyBorder="1" applyAlignment="1">
      <alignment horizontal="left" wrapText="1"/>
    </xf>
    <xf numFmtId="0" fontId="48" fillId="0" borderId="1" xfId="16" applyFont="1" applyBorder="1" applyAlignment="1">
      <alignment horizontal="center" wrapText="1"/>
    </xf>
    <xf numFmtId="0" fontId="50" fillId="0" borderId="1" xfId="16" applyFont="1" applyBorder="1" applyAlignment="1">
      <alignment horizontal="center" wrapText="1"/>
    </xf>
    <xf numFmtId="0" fontId="47" fillId="0" borderId="34" xfId="16" applyFont="1" applyFill="1" applyBorder="1" applyAlignment="1">
      <alignment horizontal="right"/>
    </xf>
    <xf numFmtId="167" fontId="47" fillId="0" borderId="14" xfId="2" applyNumberFormat="1" applyFont="1" applyFill="1" applyBorder="1" applyAlignment="1">
      <alignment horizontal="right"/>
    </xf>
    <xf numFmtId="0" fontId="48" fillId="0" borderId="34" xfId="16" applyFont="1" applyBorder="1" applyAlignment="1">
      <alignment vertical="center"/>
    </xf>
    <xf numFmtId="0" fontId="48" fillId="0" borderId="31" xfId="16" applyFont="1" applyBorder="1" applyAlignment="1">
      <alignment horizontal="right"/>
    </xf>
    <xf numFmtId="0" fontId="48" fillId="0" borderId="33" xfId="16" applyFont="1" applyBorder="1" applyAlignment="1">
      <alignment horizontal="left"/>
    </xf>
    <xf numFmtId="0" fontId="12" fillId="22" borderId="0" xfId="0" applyFont="1" applyFill="1" applyAlignment="1">
      <alignment horizontal="center" vertical="center"/>
    </xf>
    <xf numFmtId="0" fontId="14" fillId="22" borderId="10" xfId="0" applyFont="1" applyFill="1" applyBorder="1" applyAlignment="1">
      <alignment horizontal="center" vertical="center"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22" borderId="8" xfId="0" applyFont="1" applyFill="1" applyBorder="1" applyAlignment="1">
      <alignment horizontal="center" vertical="center"/>
    </xf>
    <xf numFmtId="0" fontId="29" fillId="22" borderId="0" xfId="0" applyFont="1" applyFill="1" applyAlignment="1">
      <alignment horizontal="center" vertical="center"/>
    </xf>
    <xf numFmtId="0" fontId="42" fillId="0" borderId="29" xfId="14" applyBorder="1">
      <alignment horizontal="right" indent="1"/>
    </xf>
    <xf numFmtId="0" fontId="42" fillId="0" borderId="0" xfId="12">
      <alignment horizontal="left" indent="5"/>
    </xf>
    <xf numFmtId="0" fontId="42" fillId="0" borderId="26" xfId="12" applyBorder="1">
      <alignment horizontal="left" indent="5"/>
    </xf>
    <xf numFmtId="0" fontId="0" fillId="0" borderId="0" xfId="12" applyFont="1">
      <alignment horizontal="left" indent="5"/>
    </xf>
    <xf numFmtId="0" fontId="0" fillId="0" borderId="28" xfId="12" applyFont="1" applyBorder="1">
      <alignment horizontal="left" indent="5"/>
    </xf>
    <xf numFmtId="0" fontId="42" fillId="0" borderId="28" xfId="12" applyBorder="1">
      <alignment horizontal="left" indent="5"/>
    </xf>
  </cellXfs>
  <cellStyles count="17">
    <cellStyle name="Comma" xfId="1" builtinId="3"/>
    <cellStyle name="Comma 2" xfId="5" xr:uid="{51DFA64B-B0F5-4E16-BC29-255452C2A8E5}"/>
    <cellStyle name="Comma 3" xfId="10" xr:uid="{EE41669B-A0BC-49F9-B606-667856AA96C7}"/>
    <cellStyle name="Currency" xfId="2" builtinId="4"/>
    <cellStyle name="Currency 2" xfId="6" xr:uid="{AF8D1BA4-A14F-46EC-8A51-6E49B11EED3C}"/>
    <cellStyle name="Currency 3" xfId="8" xr:uid="{DB3D3402-C424-4247-9D12-A76EFEF21D3F}"/>
    <cellStyle name="Date" xfId="9" xr:uid="{B2835098-64A7-4813-8B6D-8E84A3AB331D}"/>
    <cellStyle name="Heading 1 2" xfId="14" xr:uid="{969E2CDB-403D-4E9C-90F3-3156F3E6362A}"/>
    <cellStyle name="Heading 2 2" xfId="12" xr:uid="{402A9457-751B-4D77-A2BC-1752226C80B4}"/>
    <cellStyle name="Heading 3 2" xfId="11" xr:uid="{2E3D3A95-BFB6-4624-94D4-132EF6D90226}"/>
    <cellStyle name="Normal" xfId="0" builtinId="0"/>
    <cellStyle name="Normal 2" xfId="4" xr:uid="{3E13AEF9-BC4F-43E1-B584-CFA82E240B09}"/>
    <cellStyle name="Normal 2 2" xfId="16" xr:uid="{4D3517B3-6BF4-49E7-9F59-ADEA9010392D}"/>
    <cellStyle name="Normal 3" xfId="7" xr:uid="{9A271764-94A5-4A99-A9AE-11E3D75BD4D9}"/>
    <cellStyle name="Percent" xfId="3" builtinId="5"/>
    <cellStyle name="Percent 2" xfId="13" xr:uid="{E9206655-271B-41C7-9615-3113CE7539BC}"/>
    <cellStyle name="Title 2" xfId="15" xr:uid="{FC07B136-CC75-44D5-B7B5-52CA61BE7843}"/>
  </cellStyles>
  <dxfs count="24">
    <dxf>
      <border outline="0">
        <bottom style="thin">
          <color rgb="FF800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 outline="0">
        <bottom style="thin">
          <color rgb="FF800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mruColors>
      <color rgb="FFFFFF66"/>
      <color rgb="FF0000FF"/>
      <color rgb="FF009999"/>
      <color rgb="FFCC9900"/>
      <color rgb="FFFF66FF"/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8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6F-4EA8-B23E-5480CA6BA5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6F-4EA8-B23E-5480CA6BA5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6F-4EA8-B23E-5480CA6BA5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6F-4EA8-B23E-5480CA6BA5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16F-4EA8-B23E-5480CA6BA58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16F-4EA8-B23E-5480CA6BA5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(summary!$A$11,summary!$A$15:$A$16,summary!$A$20:$A$22)</c:f>
              <c:strCache>
                <c:ptCount val="6"/>
                <c:pt idx="0">
                  <c:v>Gross Residential SF</c:v>
                </c:pt>
                <c:pt idx="1">
                  <c:v>Office</c:v>
                </c:pt>
                <c:pt idx="2">
                  <c:v> Retail </c:v>
                </c:pt>
                <c:pt idx="3">
                  <c:v>Hotel</c:v>
                </c:pt>
                <c:pt idx="4">
                  <c:v>Parking</c:v>
                </c:pt>
                <c:pt idx="5">
                  <c:v>Public buildings</c:v>
                </c:pt>
              </c:strCache>
            </c:strRef>
          </c:cat>
          <c:val>
            <c:numRef>
              <c:f>(summary!$B$11,summary!$B$15:$B$16,summary!$B$20:$B$22)</c:f>
              <c:numCache>
                <c:formatCode>_(* #,##0_);_(* \(#,##0\);_(* "-"??_);_(@_)</c:formatCode>
                <c:ptCount val="6"/>
                <c:pt idx="0">
                  <c:v>875090.24819999991</c:v>
                </c:pt>
                <c:pt idx="1">
                  <c:v>603709.09349999984</c:v>
                </c:pt>
                <c:pt idx="2">
                  <c:v>410700.43999999994</c:v>
                </c:pt>
                <c:pt idx="3">
                  <c:v>139763.5681</c:v>
                </c:pt>
                <c:pt idx="4">
                  <c:v>0</c:v>
                </c:pt>
                <c:pt idx="5">
                  <c:v>101447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E-4F87-B3A3-D795F2F7618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EC-4C38-B63A-2EFDF93341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EC-4C38-B63A-2EFDF93341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EC-4C38-B63A-2EFDF93341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6EC-4C38-B63A-2EFDF93341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6EC-4C38-B63A-2EFDF93341A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6EC-4C38-B63A-2EFDF93341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(summary!$A$11,summary!$A$15:$A$16,summary!$A$20:$A$22)</c:f>
              <c:strCache>
                <c:ptCount val="6"/>
                <c:pt idx="0">
                  <c:v>Gross Residential SF</c:v>
                </c:pt>
                <c:pt idx="1">
                  <c:v>Office</c:v>
                </c:pt>
                <c:pt idx="2">
                  <c:v> Retail </c:v>
                </c:pt>
                <c:pt idx="3">
                  <c:v>Hotel</c:v>
                </c:pt>
                <c:pt idx="4">
                  <c:v>Parking</c:v>
                </c:pt>
                <c:pt idx="5">
                  <c:v>Public buildings</c:v>
                </c:pt>
              </c:strCache>
            </c:strRef>
          </c:cat>
          <c:val>
            <c:numRef>
              <c:f>(summary!$C$11,summary!$C$15:$C$16,summary!$C$20:$C$22)</c:f>
              <c:numCache>
                <c:formatCode>_(* #,##0_);_(* \(#,##0\);_(* "-"??_);_(@_)</c:formatCode>
                <c:ptCount val="6"/>
                <c:pt idx="0">
                  <c:v>524310.29079999996</c:v>
                </c:pt>
                <c:pt idx="1">
                  <c:v>365869.38950000005</c:v>
                </c:pt>
                <c:pt idx="2">
                  <c:v>230901.69770000002</c:v>
                </c:pt>
                <c:pt idx="3">
                  <c:v>223220.08420000001</c:v>
                </c:pt>
                <c:pt idx="4">
                  <c:v>67655.565900000001</c:v>
                </c:pt>
                <c:pt idx="5">
                  <c:v>42622.263599999998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4-4C3E-AB6A-AA636351073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</a:t>
            </a:r>
            <a:r>
              <a:rPr lang="en-US" baseline="0"/>
              <a:t>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79-4C48-A486-35E05658ED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79-4C48-A486-35E05658ED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79-4C48-A486-35E05658ED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79-4C48-A486-35E05658ED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679-4C48-A486-35E05658ED1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679-4C48-A486-35E05658ED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(summary!$A$11,summary!$A$15:$A$16,summary!$A$20:$A$22)</c:f>
              <c:strCache>
                <c:ptCount val="6"/>
                <c:pt idx="0">
                  <c:v>Gross Residential SF</c:v>
                </c:pt>
                <c:pt idx="1">
                  <c:v>Office</c:v>
                </c:pt>
                <c:pt idx="2">
                  <c:v> Retail </c:v>
                </c:pt>
                <c:pt idx="3">
                  <c:v>Hotel</c:v>
                </c:pt>
                <c:pt idx="4">
                  <c:v>Parking</c:v>
                </c:pt>
                <c:pt idx="5">
                  <c:v>Public buildings</c:v>
                </c:pt>
              </c:strCache>
            </c:strRef>
          </c:cat>
          <c:val>
            <c:numRef>
              <c:f>(summary!$D$11,summary!$D$15:$D$16,summary!$D$20:$D$22)</c:f>
              <c:numCache>
                <c:formatCode>_(* #,##0_);_(* \(#,##0\);_(* "-"??_);_(@_)</c:formatCode>
                <c:ptCount val="6"/>
                <c:pt idx="0">
                  <c:v>310619.32770000002</c:v>
                </c:pt>
                <c:pt idx="1">
                  <c:v>675468.81660000002</c:v>
                </c:pt>
                <c:pt idx="2">
                  <c:v>61712.8508</c:v>
                </c:pt>
                <c:pt idx="3">
                  <c:v>0</c:v>
                </c:pt>
                <c:pt idx="4">
                  <c:v>113150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7-4C2B-AFB4-6774599AB6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Program Breakdown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3B-40DB-9657-CD433C0319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3B-40DB-9657-CD433C0319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3B-40DB-9657-CD433C0319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A3B-40DB-9657-CD433C0319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A3B-40DB-9657-CD433C0319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A3B-40DB-9657-CD433C0319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(summary!$A$11,summary!$A$15:$A$16,summary!$A$20:$A$22)</c:f>
              <c:strCache>
                <c:ptCount val="6"/>
                <c:pt idx="0">
                  <c:v>Gross Residential SF</c:v>
                </c:pt>
                <c:pt idx="1">
                  <c:v>Office</c:v>
                </c:pt>
                <c:pt idx="2">
                  <c:v> Retail </c:v>
                </c:pt>
                <c:pt idx="3">
                  <c:v>Hotel</c:v>
                </c:pt>
                <c:pt idx="4">
                  <c:v>Parking</c:v>
                </c:pt>
                <c:pt idx="5">
                  <c:v>Public buildings</c:v>
                </c:pt>
              </c:strCache>
            </c:strRef>
          </c:cat>
          <c:val>
            <c:numRef>
              <c:f>(summary!$AC$11,summary!$AC$15:$AC$16,summary!$AC$20:$AC$22)</c:f>
              <c:numCache>
                <c:formatCode>_(* #,##0_);_(* \(#,##0\);_(* "-"??_);_(@_)</c:formatCode>
                <c:ptCount val="6"/>
                <c:pt idx="0">
                  <c:v>1710019.8667000001</c:v>
                </c:pt>
                <c:pt idx="1">
                  <c:v>1645047.2996</c:v>
                </c:pt>
                <c:pt idx="2">
                  <c:v>703314.98849999998</c:v>
                </c:pt>
                <c:pt idx="3">
                  <c:v>362983.65230000002</c:v>
                </c:pt>
                <c:pt idx="4">
                  <c:v>180805.56589999999</c:v>
                </c:pt>
                <c:pt idx="5">
                  <c:v>144069.26360000001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D-482A-B508-F32A695569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F3-4220-9819-A4E248831F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F3-4220-9819-A4E248831F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F3-4220-9819-A4E248831F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summary!$A$12:$A$14</c:f>
              <c:strCache>
                <c:ptCount val="3"/>
                <c:pt idx="0">
                  <c:v>Residential, market-rate</c:v>
                </c:pt>
                <c:pt idx="1">
                  <c:v>Residential, condominiums</c:v>
                </c:pt>
                <c:pt idx="2">
                  <c:v>Residential, affordable</c:v>
                </c:pt>
              </c:strCache>
            </c:strRef>
          </c:cat>
          <c:val>
            <c:numRef>
              <c:f>summary!$AC$12:$AC$14</c:f>
              <c:numCache>
                <c:formatCode>_(* #,##0_);_(* \(#,##0\);_(* "-"??_);_(@_)</c:formatCode>
                <c:ptCount val="3"/>
                <c:pt idx="0">
                  <c:v>1037018.88928</c:v>
                </c:pt>
                <c:pt idx="1">
                  <c:v>434606.41629999998</c:v>
                </c:pt>
                <c:pt idx="2">
                  <c:v>238394.56112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9-4F21-B794-90D707E9833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758948</xdr:colOff>
      <xdr:row>27</xdr:row>
      <xdr:rowOff>12371</xdr:rowOff>
    </xdr:from>
    <xdr:to>
      <xdr:col>5</xdr:col>
      <xdr:colOff>698623</xdr:colOff>
      <xdr:row>55</xdr:row>
      <xdr:rowOff>116280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6F96968-43AD-4603-80EE-7FA4B62296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393987</xdr:colOff>
      <xdr:row>24</xdr:row>
      <xdr:rowOff>32614</xdr:rowOff>
    </xdr:from>
    <xdr:to>
      <xdr:col>12</xdr:col>
      <xdr:colOff>809912</xdr:colOff>
      <xdr:row>52</xdr:row>
      <xdr:rowOff>32614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D06DC03-A155-4680-9B9C-47A7212D8F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526761</xdr:colOff>
      <xdr:row>24</xdr:row>
      <xdr:rowOff>73025</xdr:rowOff>
    </xdr:from>
    <xdr:to>
      <xdr:col>20</xdr:col>
      <xdr:colOff>148936</xdr:colOff>
      <xdr:row>52</xdr:row>
      <xdr:rowOff>73025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4379F78-50D9-4A57-8387-A0362B1A0A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789215</xdr:colOff>
      <xdr:row>55</xdr:row>
      <xdr:rowOff>101762</xdr:rowOff>
    </xdr:from>
    <xdr:to>
      <xdr:col>5</xdr:col>
      <xdr:colOff>728890</xdr:colOff>
      <xdr:row>91</xdr:row>
      <xdr:rowOff>101762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35FA8A7-F518-4496-A408-BCC2A0E605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879287</xdr:colOff>
      <xdr:row>59</xdr:row>
      <xdr:rowOff>0</xdr:rowOff>
    </xdr:from>
    <xdr:to>
      <xdr:col>13</xdr:col>
      <xdr:colOff>295087</xdr:colOff>
      <xdr:row>95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73FAE5A-A7AF-4D22-BAB4-179FA05BD4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480784</xdr:colOff>
      <xdr:row>2</xdr:row>
      <xdr:rowOff>84938</xdr:rowOff>
    </xdr:from>
    <xdr:to>
      <xdr:col>8</xdr:col>
      <xdr:colOff>306160</xdr:colOff>
      <xdr:row>85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092F3CD-DF96-49CF-B052-CE7B2C113075}"/>
            </a:ext>
          </a:extLst>
        </xdr:cNvPr>
        <xdr:cNvSpPr/>
      </xdr:nvSpPr>
      <xdr:spPr>
        <a:xfrm>
          <a:off x="480784" y="362029"/>
          <a:ext cx="9385012" cy="1158751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230910</xdr:colOff>
      <xdr:row>0</xdr:row>
      <xdr:rowOff>80819</xdr:rowOff>
    </xdr:from>
    <xdr:to>
      <xdr:col>1</xdr:col>
      <xdr:colOff>1397000</xdr:colOff>
      <xdr:row>2</xdr:row>
      <xdr:rowOff>92364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5F2AE16-A18C-4ABC-9A30-23C3872D02CC}"/>
            </a:ext>
          </a:extLst>
        </xdr:cNvPr>
        <xdr:cNvSpPr/>
      </xdr:nvSpPr>
      <xdr:spPr>
        <a:xfrm>
          <a:off x="230910" y="80819"/>
          <a:ext cx="1777999" cy="28863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Income /</a:t>
          </a:r>
          <a:r>
            <a:rPr lang="en-US" sz="1100" baseline="0"/>
            <a:t> unit drivers</a:t>
          </a:r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8</xdr:col>
      <xdr:colOff>508000</xdr:colOff>
      <xdr:row>2</xdr:row>
      <xdr:rowOff>44529</xdr:rowOff>
    </xdr:from>
    <xdr:to>
      <xdr:col>24</xdr:col>
      <xdr:colOff>408214</xdr:colOff>
      <xdr:row>17</xdr:row>
      <xdr:rowOff>34636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CF2C97F-8728-46FA-A610-40A652482E4D}"/>
            </a:ext>
          </a:extLst>
        </xdr:cNvPr>
        <xdr:cNvSpPr/>
      </xdr:nvSpPr>
      <xdr:spPr>
        <a:xfrm>
          <a:off x="10005786" y="316672"/>
          <a:ext cx="15149285" cy="2158178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458558</xdr:colOff>
      <xdr:row>18</xdr:row>
      <xdr:rowOff>117554</xdr:rowOff>
    </xdr:from>
    <xdr:to>
      <xdr:col>15</xdr:col>
      <xdr:colOff>809625</xdr:colOff>
      <xdr:row>70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CDC69E2-D7C3-4478-B19B-12A584CC7BD7}"/>
            </a:ext>
          </a:extLst>
        </xdr:cNvPr>
        <xdr:cNvSpPr/>
      </xdr:nvSpPr>
      <xdr:spPr>
        <a:xfrm>
          <a:off x="9999433" y="2594054"/>
          <a:ext cx="7240817" cy="648644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492167</xdr:colOff>
      <xdr:row>0</xdr:row>
      <xdr:rowOff>88076</xdr:rowOff>
    </xdr:from>
    <xdr:to>
      <xdr:col>9</xdr:col>
      <xdr:colOff>1658258</xdr:colOff>
      <xdr:row>2</xdr:row>
      <xdr:rowOff>99621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26D5681-6AAA-44A9-B7BE-6970AAFEBEDE}"/>
            </a:ext>
          </a:extLst>
        </xdr:cNvPr>
        <xdr:cNvSpPr/>
      </xdr:nvSpPr>
      <xdr:spPr>
        <a:xfrm>
          <a:off x="9989953" y="88076"/>
          <a:ext cx="1773876" cy="28368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Operating assumptions</a:t>
          </a:r>
        </a:p>
      </xdr:txBody>
    </xdr:sp>
    <xdr:clientData/>
  </xdr:twoCellAnchor>
  <xdr:twoCellAnchor>
    <xdr:from>
      <xdr:col>8</xdr:col>
      <xdr:colOff>354281</xdr:colOff>
      <xdr:row>17</xdr:row>
      <xdr:rowOff>13691</xdr:rowOff>
    </xdr:from>
    <xdr:to>
      <xdr:col>9</xdr:col>
      <xdr:colOff>1520372</xdr:colOff>
      <xdr:row>19</xdr:row>
      <xdr:rowOff>25236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44E97B4-68F2-470C-935D-72F4A1BCBBB2}"/>
            </a:ext>
          </a:extLst>
        </xdr:cNvPr>
        <xdr:cNvSpPr/>
      </xdr:nvSpPr>
      <xdr:spPr>
        <a:xfrm>
          <a:off x="9852067" y="2453905"/>
          <a:ext cx="1773876" cy="28368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Construction /</a:t>
          </a:r>
          <a:r>
            <a:rPr lang="en-US" sz="1100" b="1" baseline="0"/>
            <a:t> Misc.</a:t>
          </a:r>
        </a:p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877454</xdr:colOff>
      <xdr:row>2</xdr:row>
      <xdr:rowOff>1</xdr:rowOff>
    </xdr:from>
    <xdr:to>
      <xdr:col>7</xdr:col>
      <xdr:colOff>958273</xdr:colOff>
      <xdr:row>19</xdr:row>
      <xdr:rowOff>17287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E54A123-C71E-454A-8063-261AB962A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5636" y="277092"/>
          <a:ext cx="2528455" cy="2499559"/>
        </a:xfrm>
        <a:prstGeom prst="rect">
          <a:avLst/>
        </a:prstGeom>
      </xdr:spPr>
    </xdr:pic>
    <xdr:clientData/>
  </xdr:twoCellAnchor>
  <xdr:twoCellAnchor>
    <xdr:from>
      <xdr:col>16</xdr:col>
      <xdr:colOff>423633</xdr:colOff>
      <xdr:row>18</xdr:row>
      <xdr:rowOff>117554</xdr:rowOff>
    </xdr:from>
    <xdr:to>
      <xdr:col>21</xdr:col>
      <xdr:colOff>912091</xdr:colOff>
      <xdr:row>35</xdr:row>
      <xdr:rowOff>46182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E9850C0F-1AB2-47A8-95FD-4881B928EF7E}"/>
            </a:ext>
          </a:extLst>
        </xdr:cNvPr>
        <xdr:cNvSpPr/>
      </xdr:nvSpPr>
      <xdr:spPr>
        <a:xfrm>
          <a:off x="17822633" y="2738372"/>
          <a:ext cx="5106640" cy="2283901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61522</xdr:colOff>
      <xdr:row>17</xdr:row>
      <xdr:rowOff>63994</xdr:rowOff>
    </xdr:from>
    <xdr:to>
      <xdr:col>17</xdr:col>
      <xdr:colOff>915886</xdr:colOff>
      <xdr:row>19</xdr:row>
      <xdr:rowOff>75539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FAE14827-E6AD-46FA-AB4A-6D8D8B102C0B}"/>
            </a:ext>
          </a:extLst>
        </xdr:cNvPr>
        <xdr:cNvSpPr/>
      </xdr:nvSpPr>
      <xdr:spPr>
        <a:xfrm>
          <a:off x="17460522" y="2546267"/>
          <a:ext cx="1778000" cy="28863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FINACING</a:t>
          </a:r>
          <a:endParaRPr lang="en-US" sz="1100" b="1" baseline="0"/>
        </a:p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8306FB-ECE9-455E-A6BE-C4C93E5C5938}" name="Loan" displayName="Loan" ref="B17:H377" totalsRowShown="0" dataDxfId="17" tableBorderDxfId="16" dataCellStyle="Currency">
  <autoFilter ref="B17:H37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No." dataCellStyle="Comma">
      <calculatedColumnFormula>IFERROR(IF(Loan_Not_Paid*Values_Entered,Payment_Number,""), "")</calculatedColumnFormula>
    </tableColumn>
    <tableColumn id="2" xr3:uid="{00000000-0010-0000-0000-000002000000}" name="Column1" dataCellStyle="Date"/>
    <tableColumn id="3" xr3:uid="{00000000-0010-0000-0000-000003000000}" name="Beginning_x000a_Balance" dataCellStyle="Currency">
      <calculatedColumnFormula>IFERROR(IF(Loan_Not_Paid*Values_Entered,Beginning_Balance,""), "")</calculatedColumnFormula>
    </tableColumn>
    <tableColumn id="4" xr3:uid="{00000000-0010-0000-0000-000004000000}" name="Payment" dataCellStyle="Currency">
      <calculatedColumnFormula>IFERROR(IF(Loan_Not_Paid*Values_Entered,Monthly_Payment,""), "")</calculatedColumnFormula>
    </tableColumn>
    <tableColumn id="5" xr3:uid="{00000000-0010-0000-0000-000005000000}" name="Principal" dataCellStyle="Currency">
      <calculatedColumnFormula>IFERROR(IF(Loan_Not_Paid*Values_Entered,Principal,""), "")</calculatedColumnFormula>
    </tableColumn>
    <tableColumn id="6" xr3:uid="{00000000-0010-0000-0000-000006000000}" name="Interest" dataCellStyle="Currency">
      <calculatedColumnFormula>IFERROR(IF(Loan_Not_Paid*Values_Entered,Interest,""), "")</calculatedColumnFormula>
    </tableColumn>
    <tableColumn id="7" xr3:uid="{00000000-0010-0000-0000-000007000000}" name="Ending_x000a_Balance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01D05A-D881-49E6-8140-F8133FE2485C}" name="Loan3" displayName="Loan3" ref="B17:H377" totalsRowShown="0" dataDxfId="9" tableBorderDxfId="8" dataCellStyle="Currency">
  <autoFilter ref="B17:H37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3643166-B4EA-48B5-B661-F8DD39436197}" name="No." dataCellStyle="Comma">
      <calculatedColumnFormula>IFERROR(IF(Loan_Not_Paid*Values_Entered,Payment_Number,""), "")</calculatedColumnFormula>
    </tableColumn>
    <tableColumn id="2" xr3:uid="{A5D396E8-AFA1-4D2F-B846-A669C2A2FE48}" name="Column1" dataCellStyle="Date"/>
    <tableColumn id="3" xr3:uid="{DE2847F5-E1EE-44E3-BD25-B7B078E6137C}" name="Beginning_x000a_Balance" dataCellStyle="Currency">
      <calculatedColumnFormula>IFERROR(IF(Loan_Not_Paid*Values_Entered,Beginning_Balance,""), "")</calculatedColumnFormula>
    </tableColumn>
    <tableColumn id="4" xr3:uid="{5399DDAA-8332-45CB-8E39-A22C9244FB7A}" name="Payment" dataCellStyle="Currency">
      <calculatedColumnFormula>IFERROR(IF(Loan_Not_Paid*Values_Entered,Monthly_Payment,""), "")</calculatedColumnFormula>
    </tableColumn>
    <tableColumn id="5" xr3:uid="{5A086B86-72EF-4532-AB72-37DF1B2F5E61}" name="Principal" dataCellStyle="Currency">
      <calculatedColumnFormula>IFERROR(IF(Loan_Not_Paid*Values_Entered,Principal,""), "")</calculatedColumnFormula>
    </tableColumn>
    <tableColumn id="6" xr3:uid="{129AE6C9-875F-4270-AD57-D7B51BEBB648}" name="Interest" dataCellStyle="Currency">
      <calculatedColumnFormula>IFERROR(IF(Loan_Not_Paid*Values_Entered,Interest,""), "")</calculatedColumnFormula>
    </tableColumn>
    <tableColumn id="7" xr3:uid="{3C36CB44-5A6F-467C-AA2E-D00F9296FF53}" name="Ending_x000a_Balance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74AABA-DDA0-477C-8EB3-921B09911D1C}" name="Loan34" displayName="Loan34" ref="B17:H377" totalsRowShown="0" dataDxfId="1" tableBorderDxfId="0" dataCellStyle="Currency">
  <autoFilter ref="B17:H37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89C438B-CC07-4C05-9DB8-D402CB44235C}" name="No." dataCellStyle="Comma">
      <calculatedColumnFormula>IFERROR(IF(Loan_Not_Paid*Values_Entered,Payment_Number,""), "")</calculatedColumnFormula>
    </tableColumn>
    <tableColumn id="2" xr3:uid="{91125E9E-88C9-45F6-B659-35E94EDDD827}" name="Column1" dataCellStyle="Date"/>
    <tableColumn id="3" xr3:uid="{BAD5E051-BF48-448B-84AD-DEBE9565CEEE}" name="Beginning_x000a_Balance" dataCellStyle="Currency">
      <calculatedColumnFormula>IFERROR(IF(Loan_Not_Paid*Values_Entered,Beginning_Balance,""), "")</calculatedColumnFormula>
    </tableColumn>
    <tableColumn id="4" xr3:uid="{1BD7C2B0-8EC9-41DC-9426-E317DCAEB605}" name="Payment" dataCellStyle="Currency">
      <calculatedColumnFormula>IFERROR(IF(Loan_Not_Paid*Values_Entered,Monthly_Payment,""), "")</calculatedColumnFormula>
    </tableColumn>
    <tableColumn id="5" xr3:uid="{D2EE4E41-2989-4A69-8222-AB0BAB4D7863}" name="Principal" dataCellStyle="Currency">
      <calculatedColumnFormula>IFERROR(IF(Loan_Not_Paid*Values_Entered,Principal,""), "")</calculatedColumnFormula>
    </tableColumn>
    <tableColumn id="6" xr3:uid="{CF90CB30-F83D-4C12-ABF2-7C895E6D7F11}" name="Interest" dataCellStyle="Currency">
      <calculatedColumnFormula>IFERROR(IF(Loan_Not_Paid*Values_Entered,Interest,""), "")</calculatedColumnFormula>
    </tableColumn>
    <tableColumn id="7" xr3:uid="{D0A064A4-CB6E-4880-B687-BBB2250D7B81}" name="Ending_x000a_Balance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4090-B579-4AC2-857A-4EB774824D0C}">
  <dimension ref="B1:Q55"/>
  <sheetViews>
    <sheetView zoomScale="55" zoomScaleNormal="55" workbookViewId="0"/>
    <sheetView workbookViewId="1"/>
  </sheetViews>
  <sheetFormatPr defaultColWidth="8.734375" defaultRowHeight="14.4"/>
  <cols>
    <col min="1" max="1" width="8.734375" style="309"/>
    <col min="2" max="2" width="14.62890625" style="309" customWidth="1"/>
    <col min="3" max="3" width="11.734375" style="309" customWidth="1"/>
    <col min="4" max="4" width="19.3671875" style="309" customWidth="1"/>
    <col min="5" max="5" width="22.3671875" style="309" customWidth="1"/>
    <col min="6" max="6" width="17.1015625" style="309" customWidth="1"/>
    <col min="7" max="12" width="8.734375" style="309"/>
    <col min="13" max="13" width="33.734375" style="309" bestFit="1" customWidth="1"/>
    <col min="14" max="14" width="8.734375" style="309"/>
    <col min="15" max="15" width="15.3671875" style="309" bestFit="1" customWidth="1"/>
    <col min="16" max="16384" width="8.734375" style="309"/>
  </cols>
  <sheetData>
    <row r="1" spans="2:17">
      <c r="E1" s="309" t="s">
        <v>376</v>
      </c>
      <c r="F1" s="309" t="s">
        <v>375</v>
      </c>
      <c r="G1" s="309" t="s">
        <v>374</v>
      </c>
    </row>
    <row r="2" spans="2:17">
      <c r="B2" s="309" t="s">
        <v>142</v>
      </c>
      <c r="C2" s="309" t="s">
        <v>373</v>
      </c>
      <c r="E2" s="309">
        <v>30</v>
      </c>
      <c r="F2" s="309">
        <v>0.05</v>
      </c>
      <c r="G2" s="309">
        <v>35</v>
      </c>
    </row>
    <row r="3" spans="2:17">
      <c r="C3" s="309" t="s">
        <v>372</v>
      </c>
      <c r="E3" s="309">
        <v>20</v>
      </c>
      <c r="G3" s="309">
        <v>30</v>
      </c>
      <c r="M3" s="309" t="s">
        <v>371</v>
      </c>
      <c r="N3" s="309">
        <v>6</v>
      </c>
      <c r="O3" s="309" t="s">
        <v>370</v>
      </c>
    </row>
    <row r="4" spans="2:17">
      <c r="C4" s="309" t="s">
        <v>369</v>
      </c>
    </row>
    <row r="5" spans="2:17">
      <c r="C5" s="309" t="s">
        <v>368</v>
      </c>
      <c r="E5" s="309">
        <v>25</v>
      </c>
      <c r="M5" s="309" t="s">
        <v>367</v>
      </c>
    </row>
    <row r="6" spans="2:17">
      <c r="C6" s="309" t="s">
        <v>345</v>
      </c>
      <c r="E6" s="309">
        <v>0.03</v>
      </c>
      <c r="H6" s="309" t="s">
        <v>366</v>
      </c>
    </row>
    <row r="7" spans="2:17">
      <c r="M7" s="309" t="s">
        <v>365</v>
      </c>
      <c r="O7" s="313">
        <v>2000000</v>
      </c>
      <c r="P7" s="309">
        <v>50</v>
      </c>
      <c r="Q7" s="309" t="s">
        <v>102</v>
      </c>
    </row>
    <row r="8" spans="2:17">
      <c r="M8" s="309" t="s">
        <v>364</v>
      </c>
      <c r="O8" s="313">
        <v>6000000</v>
      </c>
    </row>
    <row r="9" spans="2:17">
      <c r="M9" s="309" t="s">
        <v>363</v>
      </c>
    </row>
    <row r="10" spans="2:17">
      <c r="B10" s="309" t="s">
        <v>362</v>
      </c>
      <c r="C10" s="309" t="s">
        <v>346</v>
      </c>
      <c r="D10" s="309" t="s">
        <v>361</v>
      </c>
      <c r="E10" s="309">
        <v>1.26</v>
      </c>
    </row>
    <row r="11" spans="2:17">
      <c r="D11" s="309" t="s">
        <v>360</v>
      </c>
      <c r="E11" s="309">
        <v>0.62</v>
      </c>
    </row>
    <row r="12" spans="2:17">
      <c r="M12" s="309" t="s">
        <v>359</v>
      </c>
    </row>
    <row r="15" spans="2:17">
      <c r="B15" s="309" t="s">
        <v>358</v>
      </c>
      <c r="E15" s="309">
        <v>150</v>
      </c>
      <c r="F15" s="309" t="s">
        <v>357</v>
      </c>
      <c r="G15" s="309" t="s">
        <v>356</v>
      </c>
    </row>
    <row r="16" spans="2:17">
      <c r="E16" s="309">
        <v>300</v>
      </c>
      <c r="F16" s="309" t="s">
        <v>355</v>
      </c>
      <c r="G16" s="309" t="s">
        <v>354</v>
      </c>
    </row>
    <row r="17" spans="2:8">
      <c r="E17" s="309">
        <v>104</v>
      </c>
      <c r="F17" s="309" t="s">
        <v>353</v>
      </c>
    </row>
    <row r="21" spans="2:8">
      <c r="B21" s="309" t="s">
        <v>145</v>
      </c>
      <c r="D21" s="309" t="s">
        <v>352</v>
      </c>
      <c r="E21" s="309">
        <v>65</v>
      </c>
    </row>
    <row r="22" spans="2:8">
      <c r="D22" s="309" t="s">
        <v>351</v>
      </c>
      <c r="E22" s="309">
        <v>150</v>
      </c>
      <c r="F22" s="309" t="s">
        <v>350</v>
      </c>
      <c r="G22" s="309">
        <v>125</v>
      </c>
      <c r="H22" s="309" t="s">
        <v>349</v>
      </c>
    </row>
    <row r="23" spans="2:8">
      <c r="D23" s="309" t="s">
        <v>348</v>
      </c>
      <c r="E23" s="309">
        <v>0.2</v>
      </c>
      <c r="F23" s="309" t="s">
        <v>347</v>
      </c>
    </row>
    <row r="27" spans="2:8">
      <c r="B27" s="309" t="s">
        <v>110</v>
      </c>
      <c r="C27" s="309" t="s">
        <v>346</v>
      </c>
      <c r="E27" s="309">
        <v>22</v>
      </c>
    </row>
    <row r="28" spans="2:8">
      <c r="C28" s="309" t="s">
        <v>345</v>
      </c>
      <c r="E28" s="309">
        <v>10</v>
      </c>
    </row>
    <row r="32" spans="2:8">
      <c r="B32" s="309" t="s">
        <v>344</v>
      </c>
      <c r="D32" s="312">
        <v>6000000</v>
      </c>
      <c r="E32" s="309" t="s">
        <v>343</v>
      </c>
      <c r="F32" s="309" t="s">
        <v>342</v>
      </c>
    </row>
    <row r="42" spans="2:6">
      <c r="B42" s="309" t="s">
        <v>131</v>
      </c>
      <c r="D42" s="311">
        <v>157</v>
      </c>
      <c r="E42" s="309" t="s">
        <v>341</v>
      </c>
      <c r="F42" s="309" t="s">
        <v>339</v>
      </c>
    </row>
    <row r="43" spans="2:6">
      <c r="D43" s="311">
        <v>90</v>
      </c>
      <c r="E43" s="309" t="s">
        <v>341</v>
      </c>
      <c r="F43" s="309" t="s">
        <v>339</v>
      </c>
    </row>
    <row r="44" spans="2:6">
      <c r="D44" s="311">
        <v>3</v>
      </c>
      <c r="E44" s="309" t="s">
        <v>340</v>
      </c>
      <c r="F44" s="309" t="s">
        <v>339</v>
      </c>
    </row>
    <row r="47" spans="2:6">
      <c r="D47" s="310">
        <v>7.5</v>
      </c>
      <c r="E47" s="309" t="s">
        <v>224</v>
      </c>
    </row>
    <row r="48" spans="2:6">
      <c r="D48" s="310">
        <v>8.6</v>
      </c>
      <c r="E48" s="309" t="s">
        <v>338</v>
      </c>
    </row>
    <row r="49" spans="2:5">
      <c r="D49" s="310">
        <v>8</v>
      </c>
      <c r="E49" s="309" t="s">
        <v>223</v>
      </c>
    </row>
    <row r="50" spans="2:5">
      <c r="D50" s="310">
        <v>8.1999999999999993</v>
      </c>
      <c r="E50" s="309" t="s">
        <v>226</v>
      </c>
    </row>
    <row r="51" spans="2:5">
      <c r="E51" s="309" t="s">
        <v>337</v>
      </c>
    </row>
    <row r="54" spans="2:5">
      <c r="B54" s="309" t="s">
        <v>336</v>
      </c>
      <c r="D54" s="309">
        <v>2</v>
      </c>
      <c r="E54" s="309" t="s">
        <v>335</v>
      </c>
    </row>
    <row r="55" spans="2:5">
      <c r="D55" s="309">
        <v>5</v>
      </c>
      <c r="E55" s="309" t="s">
        <v>334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A898C-24D3-4EA2-99F1-BF483188AFFC}">
  <sheetPr>
    <tabColor theme="9" tint="0.59999389629810485"/>
  </sheetPr>
  <dimension ref="B2:Q84"/>
  <sheetViews>
    <sheetView showGridLines="0" topLeftCell="A5" zoomScale="70" zoomScaleNormal="70" workbookViewId="0">
      <selection activeCell="G15" sqref="G15"/>
    </sheetView>
    <sheetView topLeftCell="A20" zoomScale="55" zoomScaleNormal="55" workbookViewId="1">
      <selection activeCell="D11" sqref="D11"/>
    </sheetView>
  </sheetViews>
  <sheetFormatPr defaultColWidth="8.734375" defaultRowHeight="9"/>
  <cols>
    <col min="1" max="1" width="8.734375" style="117"/>
    <col min="2" max="2" width="24.15625" style="117" bestFit="1" customWidth="1"/>
    <col min="3" max="3" width="1.15625" style="117" customWidth="1"/>
    <col min="4" max="4" width="8.734375" style="117"/>
    <col min="5" max="5" width="9" style="117" bestFit="1" customWidth="1"/>
    <col min="6" max="7" width="11.47265625" style="117" bestFit="1" customWidth="1"/>
    <col min="8" max="8" width="10.3671875" style="117" bestFit="1" customWidth="1"/>
    <col min="9" max="14" width="11.1015625" style="117" bestFit="1" customWidth="1"/>
    <col min="15" max="15" width="11.734375" style="117" bestFit="1" customWidth="1"/>
    <col min="16" max="16384" width="8.734375" style="117"/>
  </cols>
  <sheetData>
    <row r="2" spans="2:17" ht="9.3000000000000007" thickBot="1">
      <c r="B2" s="150" t="s">
        <v>176</v>
      </c>
      <c r="C2" s="150"/>
      <c r="D2" s="151"/>
      <c r="E2" s="151">
        <v>0</v>
      </c>
      <c r="F2" s="151">
        <v>1</v>
      </c>
      <c r="G2" s="151">
        <v>2</v>
      </c>
      <c r="H2" s="151">
        <v>3</v>
      </c>
      <c r="I2" s="151">
        <v>4</v>
      </c>
      <c r="J2" s="151">
        <v>5</v>
      </c>
      <c r="K2" s="151">
        <v>6</v>
      </c>
      <c r="L2" s="151">
        <v>7</v>
      </c>
      <c r="M2" s="151">
        <v>8</v>
      </c>
      <c r="N2" s="151">
        <v>9</v>
      </c>
      <c r="O2" s="151">
        <v>10</v>
      </c>
    </row>
    <row r="3" spans="2:17" ht="9.3000000000000007" thickBot="1"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7">
      <c r="B4" s="144" t="s">
        <v>199</v>
      </c>
      <c r="C4" s="145"/>
      <c r="D4" s="145"/>
      <c r="E4" s="156"/>
      <c r="F4" s="157"/>
      <c r="G4" s="157"/>
      <c r="H4" s="157"/>
      <c r="I4" s="157"/>
      <c r="J4" s="157"/>
      <c r="K4" s="146"/>
      <c r="L4" s="119"/>
      <c r="M4" s="119"/>
      <c r="N4" s="119"/>
      <c r="O4" s="119"/>
    </row>
    <row r="5" spans="2:17">
      <c r="B5" s="147" t="s">
        <v>89</v>
      </c>
      <c r="C5" s="142"/>
      <c r="D5" s="155">
        <f>Phase1</f>
        <v>1</v>
      </c>
      <c r="E5" s="140"/>
      <c r="F5" s="140"/>
      <c r="G5" s="141" t="s">
        <v>205</v>
      </c>
      <c r="H5" s="161">
        <f>Phase1begin</f>
        <v>1</v>
      </c>
      <c r="I5" s="140"/>
      <c r="J5" s="141" t="s">
        <v>202</v>
      </c>
      <c r="K5" s="158">
        <f>summary!AF13</f>
        <v>0.58146706149026672</v>
      </c>
    </row>
    <row r="6" spans="2:17">
      <c r="B6" s="147" t="s">
        <v>94</v>
      </c>
      <c r="C6" s="142"/>
      <c r="D6" s="152" t="s">
        <v>157</v>
      </c>
      <c r="E6" s="140"/>
      <c r="F6" s="140"/>
      <c r="G6" s="141" t="s">
        <v>206</v>
      </c>
      <c r="H6" s="161">
        <f>Phase1end</f>
        <v>2</v>
      </c>
      <c r="I6" s="140"/>
      <c r="J6" s="140"/>
      <c r="K6" s="148"/>
    </row>
    <row r="7" spans="2:17" ht="9.3000000000000007" thickBot="1">
      <c r="B7" s="159"/>
      <c r="C7" s="160"/>
      <c r="D7" s="160"/>
      <c r="E7" s="160"/>
      <c r="F7" s="160"/>
      <c r="G7" s="150" t="s">
        <v>200</v>
      </c>
      <c r="H7" s="153">
        <f>Phase1open</f>
        <v>3</v>
      </c>
      <c r="I7" s="160"/>
      <c r="J7" s="160"/>
      <c r="K7" s="149"/>
      <c r="Q7" s="120"/>
    </row>
    <row r="8" spans="2:17">
      <c r="C8" s="136"/>
      <c r="D8" s="120"/>
    </row>
    <row r="9" spans="2:17">
      <c r="B9" s="121" t="s">
        <v>183</v>
      </c>
      <c r="C9" s="121"/>
      <c r="E9" s="122">
        <f>IF(OR(E$2=$H7,E$2&gt;$H7),INDEX(summary!$A$2:$D$24,MATCH($D6,summary!$A$2:$A$24,0),MATCH($D5,summary!$A$2:$D$2,0)),0)</f>
        <v>0</v>
      </c>
      <c r="F9" s="122">
        <f>IF(OR(F$2=$H7,F$2&gt;$H7),INDEX(summary!$A$2:$D$24,MATCH($D6,summary!$A$2:$A$24,0),MATCH($D5,summary!$A$2:$D$2,0)),0)</f>
        <v>0</v>
      </c>
      <c r="G9" s="122">
        <f>IF(OR(G$2=$H7,G$2&gt;$H7),INDEX(summary!$A$2:$D$24,MATCH($D6,summary!$A$2:$A$24,0),MATCH($D5,summary!$A$2:$D$2,0)),0)</f>
        <v>0</v>
      </c>
      <c r="H9" s="122">
        <f>IF(OR(H$2=$H7,H$2&gt;$H7),INDEX(summary!$A$2:$D$24,MATCH($D6,summary!$A$2:$A$24,0),MATCH($D5,summary!$A$2:$D$2,0)),0)</f>
        <v>129985.62396</v>
      </c>
      <c r="I9" s="122">
        <f>IF(OR(I$2=$H7,I$2&gt;$H7),INDEX(summary!$A$2:$D$24,MATCH($D6,summary!$A$2:$A$24,0),MATCH($D5,summary!$A$2:$D$2,0)),0)</f>
        <v>129985.62396</v>
      </c>
      <c r="J9" s="122">
        <f>IF(OR(J$2=$H7,J$2&gt;$H7),INDEX(summary!$A$2:$D$24,MATCH($D6,summary!$A$2:$A$24,0),MATCH($D5,summary!$A$2:$D$2,0)),0)</f>
        <v>129985.62396</v>
      </c>
      <c r="K9" s="122">
        <f>IF(OR(K$2=$H7,K$2&gt;$H7),INDEX(summary!$A$2:$D$24,MATCH($D6,summary!$A$2:$A$24,0),MATCH($D5,summary!$A$2:$D$2,0)),0)</f>
        <v>129985.62396</v>
      </c>
      <c r="L9" s="122">
        <f>IF(OR(L$2=$H7,L$2&gt;$H7),INDEX(summary!$A$2:$D$24,MATCH($D6,summary!$A$2:$A$24,0),MATCH($D5,summary!$A$2:$D$2,0)),0)</f>
        <v>129985.62396</v>
      </c>
      <c r="M9" s="122">
        <f>IF(OR(M$2=$H7,M$2&gt;$H7),INDEX(summary!$A$2:$D$24,MATCH($D6,summary!$A$2:$A$24,0),MATCH($D5,summary!$A$2:$D$2,0)),0)</f>
        <v>129985.62396</v>
      </c>
      <c r="N9" s="122">
        <f>IF(OR(N$2=$H7,N$2&gt;$H7),INDEX(summary!$A$2:$D$24,MATCH($D6,summary!$A$2:$A$24,0),MATCH($D5,summary!$A$2:$D$2,0)),0)</f>
        <v>129985.62396</v>
      </c>
      <c r="O9" s="122">
        <f>IF(OR(O$2=$H7,O$2&gt;$H7),INDEX(summary!$A$2:$D$24,MATCH($D6,summary!$A$2:$A$24,0),MATCH($D5,summary!$A$2:$D$2,0)),0)</f>
        <v>129985.62396</v>
      </c>
    </row>
    <row r="10" spans="2:17">
      <c r="B10" s="121" t="s">
        <v>195</v>
      </c>
      <c r="C10" s="137" t="s">
        <v>192</v>
      </c>
      <c r="D10" s="123">
        <f>INDEX(cockpit!$J$6:$X$16,MATCH($D6,cockpit!$J$6:$J$16,0),MATCH($C$10,cockpit!$J$6:$X$6,0))</f>
        <v>0.1</v>
      </c>
      <c r="E10" s="122">
        <f>E9*(1-$D10)</f>
        <v>0</v>
      </c>
      <c r="F10" s="122">
        <f t="shared" ref="F10:O10" si="0">F9*(1-$D10)</f>
        <v>0</v>
      </c>
      <c r="G10" s="122">
        <f t="shared" si="0"/>
        <v>0</v>
      </c>
      <c r="H10" s="122">
        <f t="shared" si="0"/>
        <v>116987.061564</v>
      </c>
      <c r="I10" s="122">
        <f t="shared" si="0"/>
        <v>116987.061564</v>
      </c>
      <c r="J10" s="122">
        <f t="shared" si="0"/>
        <v>116987.061564</v>
      </c>
      <c r="K10" s="122">
        <f t="shared" si="0"/>
        <v>116987.061564</v>
      </c>
      <c r="L10" s="122">
        <f t="shared" si="0"/>
        <v>116987.061564</v>
      </c>
      <c r="M10" s="122">
        <f t="shared" si="0"/>
        <v>116987.061564</v>
      </c>
      <c r="N10" s="122">
        <f t="shared" si="0"/>
        <v>116987.061564</v>
      </c>
      <c r="O10" s="122">
        <f t="shared" si="0"/>
        <v>116987.061564</v>
      </c>
      <c r="Q10" s="136"/>
    </row>
    <row r="11" spans="2:17" ht="10.5">
      <c r="B11" s="121" t="s">
        <v>268</v>
      </c>
      <c r="C11" s="139"/>
      <c r="E11" s="122">
        <f t="shared" ref="E11:O11" si="1">E13/Condoaveragesize</f>
        <v>0</v>
      </c>
      <c r="F11" s="122">
        <f t="shared" si="1"/>
        <v>0</v>
      </c>
      <c r="G11" s="122">
        <f t="shared" si="1"/>
        <v>0</v>
      </c>
      <c r="H11" s="122">
        <f t="shared" si="1"/>
        <v>70.262499437837846</v>
      </c>
      <c r="I11" s="122">
        <f t="shared" si="1"/>
        <v>140.52499887567569</v>
      </c>
      <c r="J11" s="122">
        <f t="shared" si="1"/>
        <v>140.52499887567569</v>
      </c>
      <c r="K11" s="122">
        <f t="shared" si="1"/>
        <v>140.52499887567569</v>
      </c>
      <c r="L11" s="122">
        <f t="shared" si="1"/>
        <v>140.52499887567569</v>
      </c>
      <c r="M11" s="122">
        <f t="shared" si="1"/>
        <v>140.52499887567569</v>
      </c>
      <c r="N11" s="122">
        <f t="shared" si="1"/>
        <v>140.52499887567569</v>
      </c>
      <c r="O11" s="122">
        <f t="shared" si="1"/>
        <v>140.52499887567569</v>
      </c>
      <c r="Q11" s="40"/>
    </row>
    <row r="12" spans="2:17">
      <c r="B12" s="121" t="s">
        <v>181</v>
      </c>
      <c r="C12" s="137" t="s">
        <v>153</v>
      </c>
      <c r="D12" s="138">
        <f>ResidentialCondominiumrampup</f>
        <v>0.5</v>
      </c>
      <c r="E12" s="122">
        <f>IF(OR(E$2=$H7,AND(E$2&gt;$H7,E$2&lt;(SUM($H7,INDEX(cockpit!$J$6:$X$16,MATCH($D6,cockpit!$J$6:$J$16,0),MATCH($C$12,cockpit!$J$6:$X$6,0)))))),E10*$D12,0)</f>
        <v>0</v>
      </c>
      <c r="F12" s="122">
        <f>IF(OR(F$2=$H7,AND(F$2&gt;$H7,F$2&lt;(SUM($H7,INDEX(cockpit!$J$6:$X$16,MATCH($D6,cockpit!$J$6:$J$16,0),MATCH($C$12,cockpit!$J$6:$X$6,0)))))),F10*$D12,0)</f>
        <v>0</v>
      </c>
      <c r="G12" s="122">
        <f>IF(OR(G$2=$H7,AND(G$2&gt;$H7,G$2&lt;(SUM($H7,INDEX(cockpit!$J$6:$X$16,MATCH($D6,cockpit!$J$6:$J$16,0),MATCH($C$12,cockpit!$J$6:$X$6,0)))))),G10*$D12,0)</f>
        <v>0</v>
      </c>
      <c r="H12" s="122">
        <f>IF(OR(H$2=$H7,AND(H$2&gt;$H7,H$2&lt;(SUM($H7,INDEX(cockpit!$J$6:$X$16,MATCH($D6,cockpit!$J$6:$J$16,0),MATCH($C$12,cockpit!$J$6:$X$6,0)))))),H10*$D12,0)</f>
        <v>58493.530782000002</v>
      </c>
      <c r="I12" s="122">
        <f>IF(OR(I$2=$H7,AND(I$2&gt;$H7,I$2&lt;(SUM($H7,INDEX(cockpit!$J$6:$X$16,MATCH($D6,cockpit!$J$6:$J$16,0),MATCH($C$12,cockpit!$J$6:$X$6,0)))))),I10*$D12,0)</f>
        <v>58493.530782000002</v>
      </c>
      <c r="J12" s="122">
        <f>IF(OR(J$2=$H7,AND(J$2&gt;$H7,J$2&lt;(SUM($H7,INDEX(cockpit!$J$6:$X$16,MATCH($D6,cockpit!$J$6:$J$16,0),MATCH($C$12,cockpit!$J$6:$X$6,0)))))),J10*$D12,0)</f>
        <v>0</v>
      </c>
      <c r="K12" s="122">
        <f>IF(OR(K$2=$H7,AND(K$2&gt;$H7,K$2&lt;(SUM($H7,INDEX(cockpit!$J$6:$X$16,MATCH($D6,cockpit!$J$6:$J$16,0),MATCH($C$12,cockpit!$J$6:$X$6,0)))))),K10*$D12,0)</f>
        <v>0</v>
      </c>
      <c r="L12" s="122">
        <f>IF(OR(L$2=$H7,AND(L$2&gt;$H7,L$2&lt;(SUM($H7,INDEX(cockpit!$J$6:$X$16,MATCH($D6,cockpit!$J$6:$J$16,0),MATCH($C$12,cockpit!$J$6:$X$6,0)))))),L10*$D12,0)</f>
        <v>0</v>
      </c>
      <c r="M12" s="122">
        <f>IF(OR(M$2=$H7,AND(M$2&gt;$H7,M$2&lt;(SUM($H7,INDEX(cockpit!$J$6:$X$16,MATCH($D6,cockpit!$J$6:$J$16,0),MATCH($C$12,cockpit!$J$6:$X$6,0)))))),M10*$D12,0)</f>
        <v>0</v>
      </c>
      <c r="N12" s="122">
        <f>IF(OR(N$2=$H7,AND(N$2&gt;$H7,N$2&lt;(SUM($H7,INDEX(cockpit!$J$6:$X$16,MATCH($D6,cockpit!$J$6:$J$16,0),MATCH($C$12,cockpit!$J$6:$X$6,0)))))),N10*$D12,0)</f>
        <v>0</v>
      </c>
      <c r="O12" s="122">
        <f>IF(OR(O$2=$H7,AND(O$2&gt;$H7,O$2&lt;(SUM($H7,INDEX(cockpit!$J$6:$X$16,MATCH($D6,cockpit!$J$6:$J$16,0),MATCH($C$12,cockpit!$J$6:$X$6,0)))))),O10*$D12,0)</f>
        <v>0</v>
      </c>
      <c r="Q12" s="120"/>
    </row>
    <row r="13" spans="2:17" ht="10.5">
      <c r="B13" s="121" t="s">
        <v>182</v>
      </c>
      <c r="C13" s="139"/>
      <c r="E13" s="122">
        <f>SUM($E12:E12)</f>
        <v>0</v>
      </c>
      <c r="F13" s="122">
        <f>SUM($E12:F12)</f>
        <v>0</v>
      </c>
      <c r="G13" s="122">
        <f>SUM($E12:G12)</f>
        <v>0</v>
      </c>
      <c r="H13" s="122">
        <f>SUM($E12:H12)</f>
        <v>58493.530782000002</v>
      </c>
      <c r="I13" s="122">
        <f>SUM($E12:I12)</f>
        <v>116987.061564</v>
      </c>
      <c r="J13" s="122">
        <f>SUM($E12:J12)</f>
        <v>116987.061564</v>
      </c>
      <c r="K13" s="122">
        <f>SUM($E12:K12)</f>
        <v>116987.061564</v>
      </c>
      <c r="L13" s="122">
        <f>SUM($E12:L12)</f>
        <v>116987.061564</v>
      </c>
      <c r="M13" s="122">
        <f>SUM($E12:M12)</f>
        <v>116987.061564</v>
      </c>
      <c r="N13" s="122">
        <f>SUM($E12:N12)</f>
        <v>116987.061564</v>
      </c>
      <c r="O13" s="122">
        <f>SUM($E12:O12)</f>
        <v>116987.061564</v>
      </c>
      <c r="Q13" s="40"/>
    </row>
    <row r="14" spans="2:17" ht="10.5">
      <c r="B14" s="121" t="s">
        <v>269</v>
      </c>
      <c r="C14" s="139"/>
      <c r="E14" s="240">
        <f t="shared" ref="E14:O14" si="2">ROUNDDOWN(E12/Condoaveragesize,0)</f>
        <v>0</v>
      </c>
      <c r="F14" s="240">
        <f t="shared" si="2"/>
        <v>0</v>
      </c>
      <c r="G14" s="240">
        <f t="shared" si="2"/>
        <v>0</v>
      </c>
      <c r="H14" s="240">
        <f t="shared" si="2"/>
        <v>70</v>
      </c>
      <c r="I14" s="240">
        <f t="shared" si="2"/>
        <v>70</v>
      </c>
      <c r="J14" s="240">
        <f t="shared" si="2"/>
        <v>0</v>
      </c>
      <c r="K14" s="240">
        <f t="shared" si="2"/>
        <v>0</v>
      </c>
      <c r="L14" s="240">
        <f t="shared" si="2"/>
        <v>0</v>
      </c>
      <c r="M14" s="240">
        <f t="shared" si="2"/>
        <v>0</v>
      </c>
      <c r="N14" s="240">
        <f t="shared" si="2"/>
        <v>0</v>
      </c>
      <c r="O14" s="240">
        <f t="shared" si="2"/>
        <v>0</v>
      </c>
      <c r="Q14" s="40"/>
    </row>
    <row r="15" spans="2:17">
      <c r="H15" s="241"/>
      <c r="I15" s="241"/>
    </row>
    <row r="16" spans="2:17">
      <c r="C16" s="139"/>
      <c r="Q16" s="120"/>
    </row>
    <row r="17" spans="2:17">
      <c r="B17" s="121" t="s">
        <v>167</v>
      </c>
      <c r="C17" s="139"/>
      <c r="D17" s="124">
        <f>(CondosalePSF*(1-$K5))+((CondosalePSF*(1+premiumprices)*$K5))</f>
        <v>306.98068838196468</v>
      </c>
      <c r="E17" s="125">
        <f t="shared" ref="E17:O17" si="3">(E14*Condoaveragesize)*($D17*((1+Inflation)^(E$2-1)))</f>
        <v>0</v>
      </c>
      <c r="F17" s="125">
        <f t="shared" si="3"/>
        <v>0</v>
      </c>
      <c r="G17" s="125">
        <f t="shared" si="3"/>
        <v>0</v>
      </c>
      <c r="H17" s="125">
        <f t="shared" si="3"/>
        <v>18612027.319923535</v>
      </c>
      <c r="I17" s="125">
        <f t="shared" si="3"/>
        <v>18984267.866322003</v>
      </c>
      <c r="J17" s="125">
        <f t="shared" si="3"/>
        <v>0</v>
      </c>
      <c r="K17" s="125">
        <f t="shared" si="3"/>
        <v>0</v>
      </c>
      <c r="L17" s="125">
        <f t="shared" si="3"/>
        <v>0</v>
      </c>
      <c r="M17" s="125">
        <f t="shared" si="3"/>
        <v>0</v>
      </c>
      <c r="N17" s="125">
        <f t="shared" si="3"/>
        <v>0</v>
      </c>
      <c r="O17" s="125">
        <f t="shared" si="3"/>
        <v>0</v>
      </c>
    </row>
    <row r="18" spans="2:17">
      <c r="B18" s="121" t="s">
        <v>270</v>
      </c>
      <c r="C18" s="139"/>
      <c r="D18" s="138">
        <f>Condocostofsale</f>
        <v>0.05</v>
      </c>
      <c r="E18" s="126">
        <f>-E17*$D18</f>
        <v>0</v>
      </c>
      <c r="F18" s="126">
        <f t="shared" ref="F18:O18" si="4">-F17*$D18</f>
        <v>0</v>
      </c>
      <c r="G18" s="126">
        <f t="shared" si="4"/>
        <v>0</v>
      </c>
      <c r="H18" s="126">
        <f t="shared" si="4"/>
        <v>-930601.36599617684</v>
      </c>
      <c r="I18" s="126">
        <f t="shared" si="4"/>
        <v>-949213.39331610024</v>
      </c>
      <c r="J18" s="126">
        <f t="shared" si="4"/>
        <v>0</v>
      </c>
      <c r="K18" s="126">
        <f t="shared" si="4"/>
        <v>0</v>
      </c>
      <c r="L18" s="126">
        <f t="shared" si="4"/>
        <v>0</v>
      </c>
      <c r="M18" s="126">
        <f t="shared" si="4"/>
        <v>0</v>
      </c>
      <c r="N18" s="126">
        <f t="shared" si="4"/>
        <v>0</v>
      </c>
      <c r="O18" s="126">
        <f t="shared" si="4"/>
        <v>0</v>
      </c>
    </row>
    <row r="19" spans="2:17">
      <c r="B19" s="127" t="s">
        <v>168</v>
      </c>
      <c r="C19" s="139"/>
      <c r="E19" s="125">
        <f>SUM(E17:E18)</f>
        <v>0</v>
      </c>
      <c r="F19" s="125">
        <f t="shared" ref="F19:O19" si="5">SUM(F17:F18)</f>
        <v>0</v>
      </c>
      <c r="G19" s="125">
        <f t="shared" si="5"/>
        <v>0</v>
      </c>
      <c r="H19" s="125">
        <f t="shared" si="5"/>
        <v>17681425.953927357</v>
      </c>
      <c r="I19" s="125">
        <f t="shared" si="5"/>
        <v>18035054.473005902</v>
      </c>
      <c r="J19" s="125">
        <f t="shared" si="5"/>
        <v>0</v>
      </c>
      <c r="K19" s="125">
        <f t="shared" si="5"/>
        <v>0</v>
      </c>
      <c r="L19" s="125">
        <f t="shared" si="5"/>
        <v>0</v>
      </c>
      <c r="M19" s="125">
        <f t="shared" si="5"/>
        <v>0</v>
      </c>
      <c r="N19" s="125">
        <f t="shared" si="5"/>
        <v>0</v>
      </c>
      <c r="O19" s="125">
        <f t="shared" si="5"/>
        <v>0</v>
      </c>
    </row>
    <row r="20" spans="2:17">
      <c r="C20" s="139"/>
      <c r="E20" s="217">
        <f>IFERROR(E19/E17,0)</f>
        <v>0</v>
      </c>
      <c r="F20" s="217">
        <f t="shared" ref="F20:O20" si="6">IFERROR(F19/F17,0)</f>
        <v>0</v>
      </c>
      <c r="G20" s="217">
        <f t="shared" si="6"/>
        <v>0</v>
      </c>
      <c r="H20" s="217">
        <f t="shared" si="6"/>
        <v>0.95</v>
      </c>
      <c r="I20" s="217">
        <f t="shared" si="6"/>
        <v>0.95</v>
      </c>
      <c r="J20" s="217">
        <f t="shared" si="6"/>
        <v>0</v>
      </c>
      <c r="K20" s="217">
        <f t="shared" si="6"/>
        <v>0</v>
      </c>
      <c r="L20" s="217">
        <f t="shared" si="6"/>
        <v>0</v>
      </c>
      <c r="M20" s="217">
        <f t="shared" si="6"/>
        <v>0</v>
      </c>
      <c r="N20" s="217">
        <f t="shared" si="6"/>
        <v>0</v>
      </c>
      <c r="O20" s="217">
        <f t="shared" si="6"/>
        <v>0</v>
      </c>
    </row>
    <row r="21" spans="2:17">
      <c r="B21" s="121" t="s">
        <v>169</v>
      </c>
      <c r="C21" s="139"/>
      <c r="D21" s="128">
        <f>INDEX(cockpit!$J$6:$X$16,MATCH($D6,cockpit!$J$6:$J$16,0),MATCH($B21,cockpit!$J$6:$X$6,0))</f>
        <v>0</v>
      </c>
      <c r="E21" s="125">
        <f>-E10*$D21</f>
        <v>0</v>
      </c>
      <c r="F21" s="125">
        <f t="shared" ref="F21:O21" si="7">-F10*$D21</f>
        <v>0</v>
      </c>
      <c r="G21" s="125">
        <f t="shared" si="7"/>
        <v>0</v>
      </c>
      <c r="H21" s="125">
        <f t="shared" si="7"/>
        <v>0</v>
      </c>
      <c r="I21" s="125">
        <f t="shared" si="7"/>
        <v>0</v>
      </c>
      <c r="J21" s="125">
        <f t="shared" si="7"/>
        <v>0</v>
      </c>
      <c r="K21" s="125">
        <f t="shared" si="7"/>
        <v>0</v>
      </c>
      <c r="L21" s="125">
        <f t="shared" si="7"/>
        <v>0</v>
      </c>
      <c r="M21" s="125">
        <f t="shared" si="7"/>
        <v>0</v>
      </c>
      <c r="N21" s="125">
        <f t="shared" si="7"/>
        <v>0</v>
      </c>
      <c r="O21" s="125">
        <f t="shared" si="7"/>
        <v>0</v>
      </c>
    </row>
    <row r="22" spans="2:17">
      <c r="B22" s="121" t="s">
        <v>163</v>
      </c>
      <c r="C22" s="139"/>
      <c r="D22" s="128">
        <f>INDEX(cockpit!$J$6:$X$16,MATCH($D6,cockpit!$J$6:$J$16,0),MATCH($B22,cockpit!$J$6:$X$6,0))</f>
        <v>0</v>
      </c>
      <c r="E22" s="126">
        <f>-E13*$D22</f>
        <v>0</v>
      </c>
      <c r="F22" s="126">
        <f t="shared" ref="F22:O22" si="8">-F13*$D22</f>
        <v>0</v>
      </c>
      <c r="G22" s="126">
        <f t="shared" si="8"/>
        <v>0</v>
      </c>
      <c r="H22" s="126">
        <f t="shared" si="8"/>
        <v>0</v>
      </c>
      <c r="I22" s="126">
        <f t="shared" si="8"/>
        <v>0</v>
      </c>
      <c r="J22" s="126">
        <f t="shared" si="8"/>
        <v>0</v>
      </c>
      <c r="K22" s="126">
        <f t="shared" si="8"/>
        <v>0</v>
      </c>
      <c r="L22" s="126">
        <f t="shared" si="8"/>
        <v>0</v>
      </c>
      <c r="M22" s="126">
        <f t="shared" si="8"/>
        <v>0</v>
      </c>
      <c r="N22" s="126">
        <f t="shared" si="8"/>
        <v>0</v>
      </c>
      <c r="O22" s="126">
        <f t="shared" si="8"/>
        <v>0</v>
      </c>
    </row>
    <row r="23" spans="2:17">
      <c r="B23" s="127" t="s">
        <v>196</v>
      </c>
      <c r="C23" s="139"/>
      <c r="D23" s="128"/>
      <c r="E23" s="129">
        <f>SUM(E21:E22)</f>
        <v>0</v>
      </c>
      <c r="F23" s="129">
        <f t="shared" ref="F23:O23" si="9">SUM(F21:F22)</f>
        <v>0</v>
      </c>
      <c r="G23" s="129">
        <f t="shared" si="9"/>
        <v>0</v>
      </c>
      <c r="H23" s="129">
        <f t="shared" si="9"/>
        <v>0</v>
      </c>
      <c r="I23" s="129">
        <f t="shared" si="9"/>
        <v>0</v>
      </c>
      <c r="J23" s="129">
        <f t="shared" si="9"/>
        <v>0</v>
      </c>
      <c r="K23" s="129">
        <f t="shared" si="9"/>
        <v>0</v>
      </c>
      <c r="L23" s="129">
        <f t="shared" si="9"/>
        <v>0</v>
      </c>
      <c r="M23" s="129">
        <f t="shared" si="9"/>
        <v>0</v>
      </c>
      <c r="N23" s="129">
        <f t="shared" si="9"/>
        <v>0</v>
      </c>
      <c r="O23" s="129">
        <f t="shared" si="9"/>
        <v>0</v>
      </c>
    </row>
    <row r="24" spans="2:17">
      <c r="B24" s="121"/>
      <c r="C24" s="139"/>
    </row>
    <row r="25" spans="2:17">
      <c r="B25" s="121" t="s">
        <v>171</v>
      </c>
      <c r="C25" s="139"/>
      <c r="D25" s="124">
        <f>(CondoconstructionPSF*(1-$K5))+((ResidentialaffordablecostPSF*(1+premiumprices)*$K5))</f>
        <v>153.48571872486013</v>
      </c>
      <c r="E25" s="125">
        <f>-IF(OR(E$2=$H5,E$2=$H6,AND(E$2&gt;$H5,E$2&lt;$H6)),(INDEX(summary!$A$2:$D$24,MATCH($D6,summary!$A$2:$A$24,0),MATCH($D5,summary!$A$2:$D$2,0)))/Constructiontime)*($D25*((1+Inflation)^(E$2-1)))*(1+Developerfee)</f>
        <v>0</v>
      </c>
      <c r="F25" s="125">
        <f>-IF(OR(F$2=$H5,F$2=$H6,AND(F$2&gt;$H5,F$2&lt;$H6)),(INDEX(summary!$A$2:$D$24,MATCH($D6,summary!$A$2:$A$24,0),MATCH($D5,summary!$A$2:$D$2,0)))/Constructiontime)*($D25*((1+Inflation)^(F$2-1)))*(1+Developerfee)</f>
        <v>-11471788.727504998</v>
      </c>
      <c r="G25" s="125">
        <f>-IF(OR(G$2=$H5,G$2=$H6,AND(G$2&gt;$H5,G$2&lt;$H6)),(INDEX(summary!$A$2:$D$24,MATCH($D6,summary!$A$2:$A$24,0),MATCH($D5,summary!$A$2:$D$2,0)))/Constructiontime)*($D25*((1+Inflation)^(G$2-1)))*(1+Developerfee)</f>
        <v>-11701224.502055101</v>
      </c>
      <c r="H25" s="125">
        <f>-IF(OR(H$2=$H5,H$2=$H6,AND(H$2&gt;$H5,H$2&lt;$H6)),(INDEX(summary!$A$2:$D$24,MATCH($D6,summary!$A$2:$A$24,0),MATCH($D5,summary!$A$2:$D$2,0)))/Constructiontime)*($D25*((1+Inflation)^(H$2-1)))*(1+Developerfee)</f>
        <v>0</v>
      </c>
      <c r="I25" s="125">
        <f>-IF(OR(I$2=$H5,I$2=$H6,AND(I$2&gt;$H5,I$2&lt;$H6)),(INDEX(summary!$A$2:$D$24,MATCH($D6,summary!$A$2:$A$24,0),MATCH($D5,summary!$A$2:$D$2,0)))/Constructiontime)*($D25*((1+Inflation)^(I$2-1)))*(1+Developerfee)</f>
        <v>0</v>
      </c>
      <c r="J25" s="125">
        <f>-IF(OR(J$2=$H5,J$2=$H6,AND(J$2&gt;$H5,J$2&lt;$H6)),(INDEX(summary!$A$2:$D$24,MATCH($D6,summary!$A$2:$A$24,0),MATCH($D5,summary!$A$2:$D$2,0)))/Constructiontime)*($D25*((1+Inflation)^(J$2-1)))*(1+Developerfee)</f>
        <v>0</v>
      </c>
      <c r="K25" s="125">
        <f>-IF(OR(K$2=$H5,K$2=$H6,AND(K$2&gt;$H5,K$2&lt;$H6)),(INDEX(summary!$A$2:$D$24,MATCH($D6,summary!$A$2:$A$24,0),MATCH($D5,summary!$A$2:$D$2,0)))/Constructiontime)*($D25*((1+Inflation)^(K$2-1)))*(1+Developerfee)</f>
        <v>0</v>
      </c>
      <c r="L25" s="125">
        <f>-IF(OR(L$2=$H5,L$2=$H6,AND(L$2&gt;$H5,L$2&lt;$H6)),(INDEX(summary!$A$2:$D$24,MATCH($D6,summary!$A$2:$A$24,0),MATCH($D5,summary!$A$2:$D$2,0)))/Constructiontime)*($D25*((1+Inflation)^(L$2-1)))*(1+Developerfee)</f>
        <v>0</v>
      </c>
      <c r="M25" s="125">
        <f>-IF(OR(M$2=$H5,M$2=$H6,AND(M$2&gt;$H5,M$2&lt;$H6)),(INDEX(summary!$A$2:$D$24,MATCH($D6,summary!$A$2:$A$24,0),MATCH($D5,summary!$A$2:$D$2,0)))/Constructiontime)*($D25*((1+Inflation)^(M$2-1)))*(1+Developerfee)</f>
        <v>0</v>
      </c>
      <c r="N25" s="125">
        <f>-IF(OR(N$2=$H5,N$2=$H6,AND(N$2&gt;$H5,N$2&lt;$H6)),(INDEX(summary!$A$2:$D$24,MATCH($D6,summary!$A$2:$A$24,0),MATCH($D5,summary!$A$2:$D$2,0)))/Constructiontime)*($D25*((1+Inflation)^(N$2-1)))*(1+Developerfee)</f>
        <v>0</v>
      </c>
      <c r="O25" s="125">
        <f>-IF(OR(O$2=$H5,O$2=$H6,AND(O$2&gt;$H5,O$2&lt;$H6)),(INDEX(summary!$A$2:$D$24,MATCH($D6,summary!$A$2:$A$24,0),MATCH($D5,summary!$A$2:$D$2,0)))/Constructiontime)*($D25*((1+Inflation)^(O$2-1)))*(1+Developerfee)</f>
        <v>0</v>
      </c>
    </row>
    <row r="26" spans="2:17">
      <c r="B26" s="121" t="s">
        <v>198</v>
      </c>
      <c r="C26" s="139" t="s">
        <v>190</v>
      </c>
      <c r="D26" s="138">
        <f>(INDEX(cockpit!$J$6:$X$16,MATCH($D6,cockpit!$J$6:$J$16,0),MATCH($C26,cockpit!$J$6:$X$6,0))*(1-$K5))+((INDEX(cockpit!$J$6:$X$16,MATCH($D6,cockpit!$J$6:$J$16,0),MATCH($C26,cockpit!$J$6:$X$6,0))-(Premiumexitcaprate))*$K5)</f>
        <v>6.7092664692548667E-2</v>
      </c>
      <c r="E26" s="126">
        <f t="shared" ref="E26:O26" si="10">IF(E$2=dispositionyear,E19/$D26,0)*(1-Closingcosts)</f>
        <v>0</v>
      </c>
      <c r="F26" s="126">
        <f t="shared" si="10"/>
        <v>0</v>
      </c>
      <c r="G26" s="126">
        <f t="shared" si="10"/>
        <v>0</v>
      </c>
      <c r="H26" s="126">
        <f t="shared" si="10"/>
        <v>0</v>
      </c>
      <c r="I26" s="126">
        <f t="shared" si="10"/>
        <v>0</v>
      </c>
      <c r="J26" s="126">
        <f t="shared" si="10"/>
        <v>0</v>
      </c>
      <c r="K26" s="126">
        <f t="shared" si="10"/>
        <v>0</v>
      </c>
      <c r="L26" s="126">
        <f t="shared" si="10"/>
        <v>0</v>
      </c>
      <c r="M26" s="126">
        <f t="shared" si="10"/>
        <v>0</v>
      </c>
      <c r="N26" s="126">
        <f t="shared" si="10"/>
        <v>0</v>
      </c>
      <c r="O26" s="126">
        <f t="shared" si="10"/>
        <v>0</v>
      </c>
    </row>
    <row r="27" spans="2:17">
      <c r="B27" s="127" t="s">
        <v>197</v>
      </c>
      <c r="C27" s="139"/>
      <c r="D27" s="123"/>
      <c r="E27" s="129">
        <f>SUM(E25:E26)</f>
        <v>0</v>
      </c>
      <c r="F27" s="129">
        <f t="shared" ref="F27:O27" si="11">SUM(F25:F26)</f>
        <v>-11471788.727504998</v>
      </c>
      <c r="G27" s="129">
        <f t="shared" si="11"/>
        <v>-11701224.502055101</v>
      </c>
      <c r="H27" s="129">
        <f t="shared" si="11"/>
        <v>0</v>
      </c>
      <c r="I27" s="129">
        <f t="shared" si="11"/>
        <v>0</v>
      </c>
      <c r="J27" s="129">
        <f t="shared" si="11"/>
        <v>0</v>
      </c>
      <c r="K27" s="129">
        <f t="shared" si="11"/>
        <v>0</v>
      </c>
      <c r="L27" s="129">
        <f t="shared" si="11"/>
        <v>0</v>
      </c>
      <c r="M27" s="129">
        <f t="shared" si="11"/>
        <v>0</v>
      </c>
      <c r="N27" s="129">
        <f t="shared" si="11"/>
        <v>0</v>
      </c>
      <c r="O27" s="129">
        <f t="shared" si="11"/>
        <v>0</v>
      </c>
    </row>
    <row r="28" spans="2:17">
      <c r="B28" s="121"/>
      <c r="C28" s="139"/>
      <c r="D28" s="123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</row>
    <row r="29" spans="2:17" ht="10" customHeight="1">
      <c r="B29" s="127" t="s">
        <v>170</v>
      </c>
      <c r="C29" s="127"/>
      <c r="D29" s="130">
        <f ca="1">IRR(OFFSET(E29,0,0,1,Investmenthorizon+1))</f>
        <v>0.24148956411972389</v>
      </c>
      <c r="E29" s="131">
        <f>SUM(E19,E23,E27)</f>
        <v>0</v>
      </c>
      <c r="F29" s="131">
        <f t="shared" ref="F29:O29" si="12">SUM(F19,F23,F27)</f>
        <v>-11471788.727504998</v>
      </c>
      <c r="G29" s="131">
        <f t="shared" si="12"/>
        <v>-11701224.502055101</v>
      </c>
      <c r="H29" s="131">
        <f t="shared" si="12"/>
        <v>17681425.953927357</v>
      </c>
      <c r="I29" s="131">
        <f t="shared" si="12"/>
        <v>18035054.473005902</v>
      </c>
      <c r="J29" s="131">
        <f t="shared" si="12"/>
        <v>0</v>
      </c>
      <c r="K29" s="131">
        <f t="shared" si="12"/>
        <v>0</v>
      </c>
      <c r="L29" s="131">
        <f t="shared" si="12"/>
        <v>0</v>
      </c>
      <c r="M29" s="131">
        <f t="shared" si="12"/>
        <v>0</v>
      </c>
      <c r="N29" s="131">
        <f t="shared" si="12"/>
        <v>0</v>
      </c>
      <c r="O29" s="131">
        <f t="shared" si="12"/>
        <v>0</v>
      </c>
    </row>
    <row r="30" spans="2:17" ht="9.3000000000000007" thickBot="1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</row>
    <row r="31" spans="2:17">
      <c r="B31" s="144" t="s">
        <v>199</v>
      </c>
      <c r="C31" s="145"/>
      <c r="D31" s="145"/>
      <c r="E31" s="156"/>
      <c r="F31" s="157"/>
      <c r="G31" s="157"/>
      <c r="H31" s="157"/>
      <c r="I31" s="157"/>
      <c r="J31" s="157"/>
      <c r="K31" s="146"/>
      <c r="L31" s="119"/>
      <c r="M31" s="119"/>
      <c r="N31" s="119"/>
      <c r="O31" s="119"/>
      <c r="P31" s="142"/>
      <c r="Q31" s="142"/>
    </row>
    <row r="32" spans="2:17">
      <c r="B32" s="147" t="s">
        <v>89</v>
      </c>
      <c r="C32" s="142"/>
      <c r="D32" s="155">
        <v>2</v>
      </c>
      <c r="E32" s="140"/>
      <c r="F32" s="140"/>
      <c r="G32" s="141" t="s">
        <v>205</v>
      </c>
      <c r="H32" s="161">
        <f>Phase2begin</f>
        <v>3</v>
      </c>
      <c r="I32" s="140"/>
      <c r="J32" s="141" t="s">
        <v>202</v>
      </c>
      <c r="K32" s="158">
        <f>summary!AH13</f>
        <v>0.791694598347784</v>
      </c>
      <c r="P32" s="142"/>
      <c r="Q32" s="142"/>
    </row>
    <row r="33" spans="2:17">
      <c r="B33" s="147" t="s">
        <v>94</v>
      </c>
      <c r="C33" s="142"/>
      <c r="D33" s="152" t="s">
        <v>157</v>
      </c>
      <c r="E33" s="140"/>
      <c r="F33" s="140"/>
      <c r="G33" s="141" t="s">
        <v>206</v>
      </c>
      <c r="H33" s="161">
        <f>Phase2end</f>
        <v>4</v>
      </c>
      <c r="I33" s="140"/>
      <c r="J33" s="140"/>
      <c r="K33" s="148"/>
      <c r="P33" s="142"/>
      <c r="Q33" s="142"/>
    </row>
    <row r="34" spans="2:17" ht="9.3000000000000007" thickBot="1">
      <c r="B34" s="159"/>
      <c r="C34" s="160"/>
      <c r="D34" s="160"/>
      <c r="E34" s="160"/>
      <c r="F34" s="160"/>
      <c r="G34" s="150" t="s">
        <v>200</v>
      </c>
      <c r="H34" s="153">
        <f>Phase2open</f>
        <v>5</v>
      </c>
      <c r="I34" s="160"/>
      <c r="J34" s="160"/>
      <c r="K34" s="149"/>
      <c r="P34" s="142"/>
      <c r="Q34" s="142"/>
    </row>
    <row r="35" spans="2:17">
      <c r="C35" s="136"/>
      <c r="D35" s="120"/>
      <c r="P35" s="142"/>
      <c r="Q35" s="142"/>
    </row>
    <row r="36" spans="2:17">
      <c r="B36" s="121" t="s">
        <v>183</v>
      </c>
      <c r="C36" s="121"/>
      <c r="E36" s="122">
        <f>IF(OR(E$2=$H34,E$2&gt;$H34),INDEX(summary!$A$2:$D$24,MATCH($D33,summary!$A$2:$A$24,0),MATCH($D32,summary!$A$2:$D$2,0)),0)</f>
        <v>0</v>
      </c>
      <c r="F36" s="122">
        <f>IF(OR(F$2=$H34,F$2&gt;$H34),INDEX(summary!$A$2:$D$24,MATCH($D33,summary!$A$2:$A$24,0),MATCH($D32,summary!$A$2:$D$2,0)),0)</f>
        <v>0</v>
      </c>
      <c r="G36" s="122">
        <f>IF(OR(G$2=$H34,G$2&gt;$H34),INDEX(summary!$A$2:$D$24,MATCH($D33,summary!$A$2:$A$24,0),MATCH($D32,summary!$A$2:$D$2,0)),0)</f>
        <v>0</v>
      </c>
      <c r="H36" s="122">
        <f>IF(OR(H$2=$H34,H$2&gt;$H34),INDEX(summary!$A$2:$D$24,MATCH($D33,summary!$A$2:$A$24,0),MATCH($D32,summary!$A$2:$D$2,0)),0)</f>
        <v>0</v>
      </c>
      <c r="I36" s="122">
        <f>IF(OR(I$2=$H34,I$2&gt;$H34),INDEX(summary!$A$2:$D$24,MATCH($D33,summary!$A$2:$A$24,0),MATCH($D32,summary!$A$2:$D$2,0)),0)</f>
        <v>0</v>
      </c>
      <c r="J36" s="122">
        <f>IF(OR(J$2=$H34,J$2&gt;$H34),INDEX(summary!$A$2:$D$24,MATCH($D33,summary!$A$2:$A$24,0),MATCH($D32,summary!$A$2:$D$2,0)),0)</f>
        <v>304620.79233999999</v>
      </c>
      <c r="K36" s="122">
        <f>IF(OR(K$2=$H34,K$2&gt;$H34),INDEX(summary!$A$2:$D$24,MATCH($D33,summary!$A$2:$A$24,0),MATCH($D32,summary!$A$2:$D$2,0)),0)</f>
        <v>304620.79233999999</v>
      </c>
      <c r="L36" s="122">
        <f>IF(OR(L$2=$H34,L$2&gt;$H34),INDEX(summary!$A$2:$D$24,MATCH($D33,summary!$A$2:$A$24,0),MATCH($D32,summary!$A$2:$D$2,0)),0)</f>
        <v>304620.79233999999</v>
      </c>
      <c r="M36" s="122">
        <f>IF(OR(M$2=$H34,M$2&gt;$H34),INDEX(summary!$A$2:$D$24,MATCH($D33,summary!$A$2:$A$24,0),MATCH($D32,summary!$A$2:$D$2,0)),0)</f>
        <v>304620.79233999999</v>
      </c>
      <c r="N36" s="122">
        <f>IF(OR(N$2=$H34,N$2&gt;$H34),INDEX(summary!$A$2:$D$24,MATCH($D33,summary!$A$2:$A$24,0),MATCH($D32,summary!$A$2:$D$2,0)),0)</f>
        <v>304620.79233999999</v>
      </c>
      <c r="O36" s="122">
        <f>IF(OR(O$2=$H34,O$2&gt;$H34),INDEX(summary!$A$2:$D$24,MATCH($D33,summary!$A$2:$A$24,0),MATCH($D32,summary!$A$2:$D$2,0)),0)</f>
        <v>304620.79233999999</v>
      </c>
      <c r="P36" s="142"/>
      <c r="Q36" s="142"/>
    </row>
    <row r="37" spans="2:17">
      <c r="B37" s="121" t="s">
        <v>195</v>
      </c>
      <c r="C37" s="137" t="s">
        <v>192</v>
      </c>
      <c r="D37" s="123">
        <f>INDEX(cockpit!$J$6:$X$16,MATCH($D33,cockpit!$J$6:$J$16,0),MATCH($C$10,cockpit!$J$6:$X$6,0))</f>
        <v>0.1</v>
      </c>
      <c r="E37" s="122">
        <f>E36*(1-$D37)</f>
        <v>0</v>
      </c>
      <c r="F37" s="122">
        <f t="shared" ref="F37:O37" si="13">F36*(1-$D37)</f>
        <v>0</v>
      </c>
      <c r="G37" s="122">
        <f t="shared" si="13"/>
        <v>0</v>
      </c>
      <c r="H37" s="122">
        <f t="shared" si="13"/>
        <v>0</v>
      </c>
      <c r="I37" s="122">
        <f t="shared" si="13"/>
        <v>0</v>
      </c>
      <c r="J37" s="122">
        <f t="shared" si="13"/>
        <v>274158.71310599998</v>
      </c>
      <c r="K37" s="122">
        <f t="shared" si="13"/>
        <v>274158.71310599998</v>
      </c>
      <c r="L37" s="122">
        <f t="shared" si="13"/>
        <v>274158.71310599998</v>
      </c>
      <c r="M37" s="122">
        <f t="shared" si="13"/>
        <v>274158.71310599998</v>
      </c>
      <c r="N37" s="122">
        <f t="shared" si="13"/>
        <v>274158.71310599998</v>
      </c>
      <c r="O37" s="122">
        <f t="shared" si="13"/>
        <v>274158.71310599998</v>
      </c>
      <c r="P37" s="142"/>
      <c r="Q37" s="142"/>
    </row>
    <row r="38" spans="2:17">
      <c r="B38" s="121" t="s">
        <v>268</v>
      </c>
      <c r="C38" s="139"/>
      <c r="E38" s="122">
        <f t="shared" ref="E38:O38" si="14">E40/Condoaveragesize</f>
        <v>0</v>
      </c>
      <c r="F38" s="122">
        <f t="shared" si="14"/>
        <v>0</v>
      </c>
      <c r="G38" s="122">
        <f t="shared" si="14"/>
        <v>0</v>
      </c>
      <c r="H38" s="122">
        <f t="shared" si="14"/>
        <v>0</v>
      </c>
      <c r="I38" s="122">
        <f t="shared" si="14"/>
        <v>0</v>
      </c>
      <c r="J38" s="122">
        <f t="shared" si="14"/>
        <v>164.65988775135133</v>
      </c>
      <c r="K38" s="122">
        <f t="shared" si="14"/>
        <v>329.31977550270267</v>
      </c>
      <c r="L38" s="122">
        <f t="shared" si="14"/>
        <v>329.31977550270267</v>
      </c>
      <c r="M38" s="122">
        <f t="shared" si="14"/>
        <v>329.31977550270267</v>
      </c>
      <c r="N38" s="122">
        <f t="shared" si="14"/>
        <v>329.31977550270267</v>
      </c>
      <c r="O38" s="122">
        <f t="shared" si="14"/>
        <v>329.31977550270267</v>
      </c>
      <c r="P38" s="142"/>
      <c r="Q38" s="142"/>
    </row>
    <row r="39" spans="2:17">
      <c r="B39" s="121" t="s">
        <v>181</v>
      </c>
      <c r="C39" s="137" t="s">
        <v>153</v>
      </c>
      <c r="D39" s="138">
        <f>ResidentialCondominiumrampup</f>
        <v>0.5</v>
      </c>
      <c r="E39" s="122">
        <f>IF(OR(E$2=$H34,AND(E$2&gt;$H34,E$2&lt;(SUM($H34,INDEX(cockpit!$J$6:$X$16,MATCH($D33,cockpit!$J$6:$J$16,0),MATCH($C$12,cockpit!$J$6:$X$6,0)))))),E37*$D39,0)</f>
        <v>0</v>
      </c>
      <c r="F39" s="122">
        <f>IF(OR(F$2=$H34,AND(F$2&gt;$H34,F$2&lt;(SUM($H34,INDEX(cockpit!$J$6:$X$16,MATCH($D33,cockpit!$J$6:$J$16,0),MATCH($C$12,cockpit!$J$6:$X$6,0)))))),F37*$D39,0)</f>
        <v>0</v>
      </c>
      <c r="G39" s="122">
        <f>IF(OR(G$2=$H34,AND(G$2&gt;$H34,G$2&lt;(SUM($H34,INDEX(cockpit!$J$6:$X$16,MATCH($D33,cockpit!$J$6:$J$16,0),MATCH($C$12,cockpit!$J$6:$X$6,0)))))),G37*$D39,0)</f>
        <v>0</v>
      </c>
      <c r="H39" s="122">
        <f>IF(OR(H$2=$H34,AND(H$2&gt;$H34,H$2&lt;(SUM($H34,INDEX(cockpit!$J$6:$X$16,MATCH($D33,cockpit!$J$6:$J$16,0),MATCH($C$12,cockpit!$J$6:$X$6,0)))))),H37*$D39,0)</f>
        <v>0</v>
      </c>
      <c r="I39" s="122">
        <f>IF(OR(I$2=$H34,AND(I$2&gt;$H34,I$2&lt;(SUM($H34,INDEX(cockpit!$J$6:$X$16,MATCH($D33,cockpit!$J$6:$J$16,0),MATCH($C$12,cockpit!$J$6:$X$6,0)))))),I37*$D39,0)</f>
        <v>0</v>
      </c>
      <c r="J39" s="122">
        <f>IF(OR(J$2=$H34,AND(J$2&gt;$H34,J$2&lt;(SUM($H34,INDEX(cockpit!$J$6:$X$16,MATCH($D33,cockpit!$J$6:$J$16,0),MATCH($C$12,cockpit!$J$6:$X$6,0)))))),J37*$D39,0)</f>
        <v>137079.35655299999</v>
      </c>
      <c r="K39" s="122">
        <f>IF(OR(K$2=$H34,AND(K$2&gt;$H34,K$2&lt;(SUM($H34,INDEX(cockpit!$J$6:$X$16,MATCH($D33,cockpit!$J$6:$J$16,0),MATCH($C$12,cockpit!$J$6:$X$6,0)))))),K37*$D39,0)</f>
        <v>137079.35655299999</v>
      </c>
      <c r="L39" s="122">
        <f>IF(OR(L$2=$H34,AND(L$2&gt;$H34,L$2&lt;(SUM($H34,INDEX(cockpit!$J$6:$X$16,MATCH($D33,cockpit!$J$6:$J$16,0),MATCH($C$12,cockpit!$J$6:$X$6,0)))))),L37*$D39,0)</f>
        <v>0</v>
      </c>
      <c r="M39" s="122">
        <f>IF(OR(M$2=$H34,AND(M$2&gt;$H34,M$2&lt;(SUM($H34,INDEX(cockpit!$J$6:$X$16,MATCH($D33,cockpit!$J$6:$J$16,0),MATCH($C$12,cockpit!$J$6:$X$6,0)))))),M37*$D39,0)</f>
        <v>0</v>
      </c>
      <c r="N39" s="122">
        <f>IF(OR(N$2=$H34,AND(N$2&gt;$H34,N$2&lt;(SUM($H34,INDEX(cockpit!$J$6:$X$16,MATCH($D33,cockpit!$J$6:$J$16,0),MATCH($C$12,cockpit!$J$6:$X$6,0)))))),N37*$D39,0)</f>
        <v>0</v>
      </c>
      <c r="O39" s="122">
        <f>IF(OR(O$2=$H34,AND(O$2&gt;$H34,O$2&lt;(SUM($H34,INDEX(cockpit!$J$6:$X$16,MATCH($D33,cockpit!$J$6:$J$16,0),MATCH($C$12,cockpit!$J$6:$X$6,0)))))),O37*$D39,0)</f>
        <v>0</v>
      </c>
      <c r="P39" s="142"/>
      <c r="Q39" s="142"/>
    </row>
    <row r="40" spans="2:17">
      <c r="B40" s="121" t="s">
        <v>182</v>
      </c>
      <c r="C40" s="139"/>
      <c r="E40" s="122">
        <f>SUM($E39:E39)</f>
        <v>0</v>
      </c>
      <c r="F40" s="122">
        <f>SUM($E39:F39)</f>
        <v>0</v>
      </c>
      <c r="G40" s="122">
        <f>SUM($E39:G39)</f>
        <v>0</v>
      </c>
      <c r="H40" s="122">
        <f>SUM($E39:H39)</f>
        <v>0</v>
      </c>
      <c r="I40" s="122">
        <f>SUM($E39:I39)</f>
        <v>0</v>
      </c>
      <c r="J40" s="122">
        <f>SUM($E39:J39)</f>
        <v>137079.35655299999</v>
      </c>
      <c r="K40" s="122">
        <f>SUM($E39:K39)</f>
        <v>274158.71310599998</v>
      </c>
      <c r="L40" s="122">
        <f>SUM($E39:L39)</f>
        <v>274158.71310599998</v>
      </c>
      <c r="M40" s="122">
        <f>SUM($E39:M39)</f>
        <v>274158.71310599998</v>
      </c>
      <c r="N40" s="122">
        <f>SUM($E39:N39)</f>
        <v>274158.71310599998</v>
      </c>
      <c r="O40" s="122">
        <f>SUM($E39:O39)</f>
        <v>274158.71310599998</v>
      </c>
      <c r="P40" s="142"/>
      <c r="Q40" s="142"/>
    </row>
    <row r="41" spans="2:17">
      <c r="B41" s="121" t="s">
        <v>269</v>
      </c>
      <c r="C41" s="139"/>
      <c r="E41" s="240">
        <f t="shared" ref="E41:O41" si="15">ROUNDDOWN(E39/Condoaveragesize,0)</f>
        <v>0</v>
      </c>
      <c r="F41" s="240">
        <f t="shared" si="15"/>
        <v>0</v>
      </c>
      <c r="G41" s="240">
        <f t="shared" si="15"/>
        <v>0</v>
      </c>
      <c r="H41" s="240">
        <f t="shared" si="15"/>
        <v>0</v>
      </c>
      <c r="I41" s="240">
        <f t="shared" si="15"/>
        <v>0</v>
      </c>
      <c r="J41" s="240">
        <f t="shared" si="15"/>
        <v>164</v>
      </c>
      <c r="K41" s="240">
        <f t="shared" si="15"/>
        <v>164</v>
      </c>
      <c r="L41" s="240">
        <f t="shared" si="15"/>
        <v>0</v>
      </c>
      <c r="M41" s="240">
        <f t="shared" si="15"/>
        <v>0</v>
      </c>
      <c r="N41" s="240">
        <f t="shared" si="15"/>
        <v>0</v>
      </c>
      <c r="O41" s="240">
        <f t="shared" si="15"/>
        <v>0</v>
      </c>
      <c r="P41" s="142"/>
      <c r="Q41" s="142"/>
    </row>
    <row r="42" spans="2:17">
      <c r="H42" s="241">
        <f>H41*Condoaveragesize</f>
        <v>0</v>
      </c>
      <c r="I42" s="241">
        <f>H42*300</f>
        <v>0</v>
      </c>
      <c r="P42" s="142"/>
      <c r="Q42" s="142"/>
    </row>
    <row r="43" spans="2:17">
      <c r="C43" s="139"/>
      <c r="P43" s="142"/>
      <c r="Q43" s="142"/>
    </row>
    <row r="44" spans="2:17">
      <c r="B44" s="121" t="s">
        <v>167</v>
      </c>
      <c r="C44" s="139"/>
      <c r="D44" s="124">
        <f>(CondosalePSF*(1-$K32))+((CondosalePSF*(1+premiumprices)*$K32))</f>
        <v>318.54320290912813</v>
      </c>
      <c r="E44" s="125">
        <f t="shared" ref="E44:O44" si="16">(E41*Condoaveragesize)*($D44*((1+Inflation)^(E$2-1)))</f>
        <v>0</v>
      </c>
      <c r="F44" s="125">
        <f t="shared" si="16"/>
        <v>0</v>
      </c>
      <c r="G44" s="125">
        <f t="shared" si="16"/>
        <v>0</v>
      </c>
      <c r="H44" s="125">
        <f t="shared" si="16"/>
        <v>0</v>
      </c>
      <c r="I44" s="125">
        <f t="shared" si="16"/>
        <v>0</v>
      </c>
      <c r="J44" s="125">
        <f t="shared" si="16"/>
        <v>47075736.122045904</v>
      </c>
      <c r="K44" s="125">
        <f t="shared" si="16"/>
        <v>48017250.844486825</v>
      </c>
      <c r="L44" s="125">
        <f t="shared" si="16"/>
        <v>0</v>
      </c>
      <c r="M44" s="125">
        <f t="shared" si="16"/>
        <v>0</v>
      </c>
      <c r="N44" s="125">
        <f t="shared" si="16"/>
        <v>0</v>
      </c>
      <c r="O44" s="125">
        <f t="shared" si="16"/>
        <v>0</v>
      </c>
      <c r="P44" s="142"/>
      <c r="Q44" s="142"/>
    </row>
    <row r="45" spans="2:17">
      <c r="B45" s="121" t="s">
        <v>270</v>
      </c>
      <c r="C45" s="139"/>
      <c r="D45" s="138">
        <f>Condocostofsale</f>
        <v>0.05</v>
      </c>
      <c r="E45" s="126">
        <f>-E44*$D45</f>
        <v>0</v>
      </c>
      <c r="F45" s="126">
        <f t="shared" ref="F45" si="17">-F44*$D45</f>
        <v>0</v>
      </c>
      <c r="G45" s="126">
        <f t="shared" ref="G45" si="18">-G44*$D45</f>
        <v>0</v>
      </c>
      <c r="H45" s="126">
        <f t="shared" ref="H45" si="19">-H44*$D45</f>
        <v>0</v>
      </c>
      <c r="I45" s="126">
        <f t="shared" ref="I45" si="20">-I44*$D45</f>
        <v>0</v>
      </c>
      <c r="J45" s="126">
        <f t="shared" ref="J45" si="21">-J44*$D45</f>
        <v>-2353786.8061022954</v>
      </c>
      <c r="K45" s="126">
        <f t="shared" ref="K45" si="22">-K44*$D45</f>
        <v>-2400862.5422243415</v>
      </c>
      <c r="L45" s="126">
        <f t="shared" ref="L45" si="23">-L44*$D45</f>
        <v>0</v>
      </c>
      <c r="M45" s="126">
        <f t="shared" ref="M45" si="24">-M44*$D45</f>
        <v>0</v>
      </c>
      <c r="N45" s="126">
        <f t="shared" ref="N45" si="25">-N44*$D45</f>
        <v>0</v>
      </c>
      <c r="O45" s="126">
        <f t="shared" ref="O45" si="26">-O44*$D45</f>
        <v>0</v>
      </c>
      <c r="P45" s="142"/>
      <c r="Q45" s="142"/>
    </row>
    <row r="46" spans="2:17">
      <c r="B46" s="127" t="s">
        <v>168</v>
      </c>
      <c r="C46" s="139"/>
      <c r="E46" s="125">
        <f>SUM(E44:E45)</f>
        <v>0</v>
      </c>
      <c r="F46" s="125">
        <f t="shared" ref="F46:O46" si="27">SUM(F44:F45)</f>
        <v>0</v>
      </c>
      <c r="G46" s="125">
        <f t="shared" si="27"/>
        <v>0</v>
      </c>
      <c r="H46" s="125">
        <f t="shared" si="27"/>
        <v>0</v>
      </c>
      <c r="I46" s="125">
        <f t="shared" si="27"/>
        <v>0</v>
      </c>
      <c r="J46" s="125">
        <f t="shared" si="27"/>
        <v>44721949.315943606</v>
      </c>
      <c r="K46" s="125">
        <f t="shared" si="27"/>
        <v>45616388.302262485</v>
      </c>
      <c r="L46" s="125">
        <f t="shared" si="27"/>
        <v>0</v>
      </c>
      <c r="M46" s="125">
        <f t="shared" si="27"/>
        <v>0</v>
      </c>
      <c r="N46" s="125">
        <f t="shared" si="27"/>
        <v>0</v>
      </c>
      <c r="O46" s="125">
        <f t="shared" si="27"/>
        <v>0</v>
      </c>
      <c r="P46" s="142"/>
      <c r="Q46" s="142"/>
    </row>
    <row r="47" spans="2:17">
      <c r="C47" s="139"/>
      <c r="E47" s="217">
        <f>IFERROR(E46/E44,0)</f>
        <v>0</v>
      </c>
      <c r="F47" s="217">
        <f t="shared" ref="F47" si="28">IFERROR(F46/F44,0)</f>
        <v>0</v>
      </c>
      <c r="G47" s="217">
        <f t="shared" ref="G47" si="29">IFERROR(G46/G44,0)</f>
        <v>0</v>
      </c>
      <c r="H47" s="217">
        <f t="shared" ref="H47" si="30">IFERROR(H46/H44,0)</f>
        <v>0</v>
      </c>
      <c r="I47" s="217">
        <f t="shared" ref="I47" si="31">IFERROR(I46/I44,0)</f>
        <v>0</v>
      </c>
      <c r="J47" s="217">
        <f t="shared" ref="J47" si="32">IFERROR(J46/J44,0)</f>
        <v>0.95</v>
      </c>
      <c r="K47" s="217">
        <f t="shared" ref="K47" si="33">IFERROR(K46/K44,0)</f>
        <v>0.95000000000000007</v>
      </c>
      <c r="L47" s="217">
        <f t="shared" ref="L47" si="34">IFERROR(L46/L44,0)</f>
        <v>0</v>
      </c>
      <c r="M47" s="217">
        <f t="shared" ref="M47" si="35">IFERROR(M46/M44,0)</f>
        <v>0</v>
      </c>
      <c r="N47" s="217">
        <f t="shared" ref="N47" si="36">IFERROR(N46/N44,0)</f>
        <v>0</v>
      </c>
      <c r="O47" s="217">
        <f t="shared" ref="O47" si="37">IFERROR(O46/O44,0)</f>
        <v>0</v>
      </c>
      <c r="P47" s="142"/>
      <c r="Q47" s="142"/>
    </row>
    <row r="48" spans="2:17">
      <c r="B48" s="121" t="s">
        <v>169</v>
      </c>
      <c r="C48" s="139"/>
      <c r="D48" s="128">
        <f>INDEX(cockpit!$J$6:$X$16,MATCH($D33,cockpit!$J$6:$J$16,0),MATCH($B48,cockpit!$J$6:$X$6,0))</f>
        <v>0</v>
      </c>
      <c r="E48" s="125">
        <f>-E37*$D48</f>
        <v>0</v>
      </c>
      <c r="F48" s="125">
        <f t="shared" ref="F48:O48" si="38">-F37*$D48</f>
        <v>0</v>
      </c>
      <c r="G48" s="125">
        <f t="shared" si="38"/>
        <v>0</v>
      </c>
      <c r="H48" s="125">
        <f t="shared" si="38"/>
        <v>0</v>
      </c>
      <c r="I48" s="125">
        <f t="shared" si="38"/>
        <v>0</v>
      </c>
      <c r="J48" s="125">
        <f t="shared" si="38"/>
        <v>0</v>
      </c>
      <c r="K48" s="125">
        <f t="shared" si="38"/>
        <v>0</v>
      </c>
      <c r="L48" s="125">
        <f t="shared" si="38"/>
        <v>0</v>
      </c>
      <c r="M48" s="125">
        <f t="shared" si="38"/>
        <v>0</v>
      </c>
      <c r="N48" s="125">
        <f t="shared" si="38"/>
        <v>0</v>
      </c>
      <c r="O48" s="125">
        <f t="shared" si="38"/>
        <v>0</v>
      </c>
      <c r="P48" s="142"/>
      <c r="Q48" s="142"/>
    </row>
    <row r="49" spans="2:17">
      <c r="B49" s="121" t="s">
        <v>163</v>
      </c>
      <c r="C49" s="139"/>
      <c r="D49" s="128">
        <f>INDEX(cockpit!$J$6:$X$16,MATCH($D33,cockpit!$J$6:$J$16,0),MATCH($B49,cockpit!$J$6:$X$6,0))</f>
        <v>0</v>
      </c>
      <c r="E49" s="126">
        <f>-E40*$D49</f>
        <v>0</v>
      </c>
      <c r="F49" s="126">
        <f t="shared" ref="F49:O49" si="39">-F40*$D49</f>
        <v>0</v>
      </c>
      <c r="G49" s="126">
        <f t="shared" si="39"/>
        <v>0</v>
      </c>
      <c r="H49" s="126">
        <f t="shared" si="39"/>
        <v>0</v>
      </c>
      <c r="I49" s="126">
        <f t="shared" si="39"/>
        <v>0</v>
      </c>
      <c r="J49" s="126">
        <f t="shared" si="39"/>
        <v>0</v>
      </c>
      <c r="K49" s="126">
        <f t="shared" si="39"/>
        <v>0</v>
      </c>
      <c r="L49" s="126">
        <f t="shared" si="39"/>
        <v>0</v>
      </c>
      <c r="M49" s="126">
        <f t="shared" si="39"/>
        <v>0</v>
      </c>
      <c r="N49" s="126">
        <f t="shared" si="39"/>
        <v>0</v>
      </c>
      <c r="O49" s="126">
        <f t="shared" si="39"/>
        <v>0</v>
      </c>
      <c r="P49" s="142"/>
      <c r="Q49" s="142"/>
    </row>
    <row r="50" spans="2:17">
      <c r="B50" s="127" t="s">
        <v>196</v>
      </c>
      <c r="C50" s="139"/>
      <c r="D50" s="128"/>
      <c r="E50" s="129">
        <f>SUM(E48:E49)</f>
        <v>0</v>
      </c>
      <c r="F50" s="129">
        <f t="shared" ref="F50:O50" si="40">SUM(F48:F49)</f>
        <v>0</v>
      </c>
      <c r="G50" s="129">
        <f t="shared" si="40"/>
        <v>0</v>
      </c>
      <c r="H50" s="129">
        <f t="shared" si="40"/>
        <v>0</v>
      </c>
      <c r="I50" s="129">
        <f t="shared" si="40"/>
        <v>0</v>
      </c>
      <c r="J50" s="129">
        <f t="shared" si="40"/>
        <v>0</v>
      </c>
      <c r="K50" s="129">
        <f t="shared" si="40"/>
        <v>0</v>
      </c>
      <c r="L50" s="129">
        <f t="shared" si="40"/>
        <v>0</v>
      </c>
      <c r="M50" s="129">
        <f t="shared" si="40"/>
        <v>0</v>
      </c>
      <c r="N50" s="129">
        <f t="shared" si="40"/>
        <v>0</v>
      </c>
      <c r="O50" s="129">
        <f t="shared" si="40"/>
        <v>0</v>
      </c>
      <c r="P50" s="142"/>
      <c r="Q50" s="142"/>
    </row>
    <row r="51" spans="2:17">
      <c r="B51" s="121"/>
      <c r="C51" s="139"/>
      <c r="P51" s="142"/>
      <c r="Q51" s="142"/>
    </row>
    <row r="52" spans="2:17">
      <c r="B52" s="121" t="s">
        <v>171</v>
      </c>
      <c r="C52" s="139"/>
      <c r="D52" s="124">
        <f>(CondoconstructionPSF*(1-$K32))+((ResidentialaffordablecostPSF*(1+premiumprices)*$K32))</f>
        <v>145.70729986113201</v>
      </c>
      <c r="E52" s="125">
        <f>-IF(OR(E$2=$H32,E$2=$H33,AND(E$2&gt;$H32,E$2&lt;$H33)),(INDEX(summary!$A$2:$D$24,MATCH($D33,summary!$A$2:$A$24,0),MATCH($D32,summary!$A$2:$D$2,0)))/Constructiontime)*($D52*((1+Inflation)^(E$2-1)))*(1+Developerfee)</f>
        <v>0</v>
      </c>
      <c r="F52" s="125">
        <f>-IF(OR(F$2=$H32,F$2=$H33,AND(F$2&gt;$H32,F$2&lt;$H33)),(INDEX(summary!$A$2:$D$24,MATCH($D33,summary!$A$2:$A$24,0),MATCH($D32,summary!$A$2:$D$2,0)))/Constructiontime)*($D52*((1+Inflation)^(F$2-1)))*(1+Developerfee)</f>
        <v>0</v>
      </c>
      <c r="G52" s="125">
        <f>-IF(OR(G$2=$H32,G$2=$H33,AND(G$2&gt;$H32,G$2&lt;$H33)),(INDEX(summary!$A$2:$D$24,MATCH($D33,summary!$A$2:$A$24,0),MATCH($D32,summary!$A$2:$D$2,0)))/Constructiontime)*($D52*((1+Inflation)^(G$2-1)))*(1+Developerfee)</f>
        <v>0</v>
      </c>
      <c r="H52" s="125">
        <f>-IF(OR(H$2=$H32,H$2=$H33,AND(H$2&gt;$H32,H$2&lt;$H33)),(INDEX(summary!$A$2:$D$24,MATCH($D33,summary!$A$2:$A$24,0),MATCH($D32,summary!$A$2:$D$2,0)))/Constructiontime)*($D52*((1+Inflation)^(H$2-1)))*(1+Developerfee)</f>
        <v>-26552721.592605848</v>
      </c>
      <c r="I52" s="125">
        <f>-IF(OR(I$2=$H32,I$2=$H33,AND(I$2&gt;$H32,I$2&lt;$H33)),(INDEX(summary!$A$2:$D$24,MATCH($D33,summary!$A$2:$A$24,0),MATCH($D32,summary!$A$2:$D$2,0)))/Constructiontime)*($D52*((1+Inflation)^(I$2-1)))*(1+Developerfee)</f>
        <v>-27083776.024457965</v>
      </c>
      <c r="J52" s="125">
        <f>-IF(OR(J$2=$H32,J$2=$H33,AND(J$2&gt;$H32,J$2&lt;$H33)),(INDEX(summary!$A$2:$D$24,MATCH($D33,summary!$A$2:$A$24,0),MATCH($D32,summary!$A$2:$D$2,0)))/Constructiontime)*($D52*((1+Inflation)^(J$2-1)))*(1+Developerfee)</f>
        <v>0</v>
      </c>
      <c r="K52" s="125">
        <f>-IF(OR(K$2=$H32,K$2=$H33,AND(K$2&gt;$H32,K$2&lt;$H33)),(INDEX(summary!$A$2:$D$24,MATCH($D33,summary!$A$2:$A$24,0),MATCH($D32,summary!$A$2:$D$2,0)))/Constructiontime)*($D52*((1+Inflation)^(K$2-1)))*(1+Developerfee)</f>
        <v>0</v>
      </c>
      <c r="L52" s="125">
        <f>-IF(OR(L$2=$H32,L$2=$H33,AND(L$2&gt;$H32,L$2&lt;$H33)),(INDEX(summary!$A$2:$D$24,MATCH($D33,summary!$A$2:$A$24,0),MATCH($D32,summary!$A$2:$D$2,0)))/Constructiontime)*($D52*((1+Inflation)^(L$2-1)))*(1+Developerfee)</f>
        <v>0</v>
      </c>
      <c r="M52" s="125">
        <f>-IF(OR(M$2=$H32,M$2=$H33,AND(M$2&gt;$H32,M$2&lt;$H33)),(INDEX(summary!$A$2:$D$24,MATCH($D33,summary!$A$2:$A$24,0),MATCH($D32,summary!$A$2:$D$2,0)))/Constructiontime)*($D52*((1+Inflation)^(M$2-1)))*(1+Developerfee)</f>
        <v>0</v>
      </c>
      <c r="N52" s="125">
        <f>-IF(OR(N$2=$H32,N$2=$H33,AND(N$2&gt;$H32,N$2&lt;$H33)),(INDEX(summary!$A$2:$D$24,MATCH($D33,summary!$A$2:$A$24,0),MATCH($D32,summary!$A$2:$D$2,0)))/Constructiontime)*($D52*((1+Inflation)^(N$2-1)))*(1+Developerfee)</f>
        <v>0</v>
      </c>
      <c r="O52" s="125">
        <f>-IF(OR(O$2=$H32,O$2=$H33,AND(O$2&gt;$H32,O$2&lt;$H33)),(INDEX(summary!$A$2:$D$24,MATCH($D33,summary!$A$2:$A$24,0),MATCH($D32,summary!$A$2:$D$2,0)))/Constructiontime)*($D52*((1+Inflation)^(O$2-1)))*(1+Developerfee)</f>
        <v>0</v>
      </c>
      <c r="P52" s="142"/>
      <c r="Q52" s="142"/>
    </row>
    <row r="53" spans="2:17">
      <c r="B53" s="121" t="s">
        <v>198</v>
      </c>
      <c r="C53" s="139" t="s">
        <v>190</v>
      </c>
      <c r="D53" s="138">
        <f>(INDEX(cockpit!$J$6:$X$16,MATCH($D33,cockpit!$J$6:$J$16,0),MATCH($C53,cockpit!$J$6:$X$6,0))*(1-$K32))+((INDEX(cockpit!$J$6:$X$16,MATCH($D33,cockpit!$J$6:$J$16,0),MATCH($C53,cockpit!$J$6:$X$6,0))-(Premiumexitcaprate))*$K32)</f>
        <v>6.6041527008261075E-2</v>
      </c>
      <c r="E53" s="126">
        <f t="shared" ref="E53:O53" si="41">IF(E$2=dispositionyear,E46/$D53,0)*(1-Closingcosts)</f>
        <v>0</v>
      </c>
      <c r="F53" s="126">
        <f t="shared" si="41"/>
        <v>0</v>
      </c>
      <c r="G53" s="126">
        <f t="shared" si="41"/>
        <v>0</v>
      </c>
      <c r="H53" s="126">
        <f t="shared" si="41"/>
        <v>0</v>
      </c>
      <c r="I53" s="126">
        <f t="shared" si="41"/>
        <v>0</v>
      </c>
      <c r="J53" s="126">
        <f t="shared" si="41"/>
        <v>0</v>
      </c>
      <c r="K53" s="126">
        <f t="shared" si="41"/>
        <v>0</v>
      </c>
      <c r="L53" s="126">
        <f t="shared" si="41"/>
        <v>0</v>
      </c>
      <c r="M53" s="126">
        <f t="shared" si="41"/>
        <v>0</v>
      </c>
      <c r="N53" s="126">
        <f t="shared" si="41"/>
        <v>0</v>
      </c>
      <c r="O53" s="126">
        <f t="shared" si="41"/>
        <v>0</v>
      </c>
      <c r="P53" s="142"/>
      <c r="Q53" s="142"/>
    </row>
    <row r="54" spans="2:17">
      <c r="B54" s="127" t="s">
        <v>197</v>
      </c>
      <c r="C54" s="139"/>
      <c r="D54" s="123"/>
      <c r="E54" s="129">
        <f>SUM(E52:E53)</f>
        <v>0</v>
      </c>
      <c r="F54" s="129">
        <f t="shared" ref="F54:O54" si="42">SUM(F52:F53)</f>
        <v>0</v>
      </c>
      <c r="G54" s="129">
        <f t="shared" si="42"/>
        <v>0</v>
      </c>
      <c r="H54" s="129">
        <f t="shared" si="42"/>
        <v>-26552721.592605848</v>
      </c>
      <c r="I54" s="129">
        <f t="shared" si="42"/>
        <v>-27083776.024457965</v>
      </c>
      <c r="J54" s="129">
        <f t="shared" si="42"/>
        <v>0</v>
      </c>
      <c r="K54" s="129">
        <f t="shared" si="42"/>
        <v>0</v>
      </c>
      <c r="L54" s="129">
        <f t="shared" si="42"/>
        <v>0</v>
      </c>
      <c r="M54" s="129">
        <f t="shared" si="42"/>
        <v>0</v>
      </c>
      <c r="N54" s="129">
        <f t="shared" si="42"/>
        <v>0</v>
      </c>
      <c r="O54" s="129">
        <f t="shared" si="42"/>
        <v>0</v>
      </c>
      <c r="P54" s="142"/>
      <c r="Q54" s="142"/>
    </row>
    <row r="55" spans="2:17">
      <c r="B55" s="121"/>
      <c r="C55" s="139"/>
      <c r="D55" s="123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42"/>
      <c r="Q55" s="142"/>
    </row>
    <row r="56" spans="2:17">
      <c r="B56" s="127" t="s">
        <v>170</v>
      </c>
      <c r="C56" s="127"/>
      <c r="D56" s="130">
        <f ca="1">IRR(OFFSET(E56,0,0,1,Investmenthorizon+1))</f>
        <v>0.29779423791790816</v>
      </c>
      <c r="E56" s="131">
        <f>SUM(E46,E50,E54)</f>
        <v>0</v>
      </c>
      <c r="F56" s="131">
        <f t="shared" ref="F56:O56" si="43">SUM(F46,F50,F54)</f>
        <v>0</v>
      </c>
      <c r="G56" s="131">
        <f t="shared" si="43"/>
        <v>0</v>
      </c>
      <c r="H56" s="131">
        <f t="shared" si="43"/>
        <v>-26552721.592605848</v>
      </c>
      <c r="I56" s="131">
        <f t="shared" si="43"/>
        <v>-27083776.024457965</v>
      </c>
      <c r="J56" s="131">
        <f t="shared" si="43"/>
        <v>44721949.315943606</v>
      </c>
      <c r="K56" s="131">
        <f t="shared" si="43"/>
        <v>45616388.302262485</v>
      </c>
      <c r="L56" s="131">
        <f t="shared" si="43"/>
        <v>0</v>
      </c>
      <c r="M56" s="131">
        <f t="shared" si="43"/>
        <v>0</v>
      </c>
      <c r="N56" s="131">
        <f t="shared" si="43"/>
        <v>0</v>
      </c>
      <c r="O56" s="131">
        <f t="shared" si="43"/>
        <v>0</v>
      </c>
      <c r="P56" s="142"/>
      <c r="Q56" s="142"/>
    </row>
    <row r="57" spans="2:17" ht="9.3000000000000007" thickBot="1">
      <c r="B57" s="221"/>
      <c r="C57" s="142"/>
      <c r="D57" s="152"/>
      <c r="E57" s="142"/>
      <c r="F57" s="142"/>
      <c r="G57" s="221"/>
      <c r="H57" s="155"/>
      <c r="I57" s="142"/>
      <c r="J57" s="142"/>
      <c r="K57" s="142"/>
      <c r="L57" s="142"/>
      <c r="M57" s="142"/>
      <c r="N57" s="142"/>
      <c r="O57" s="142"/>
    </row>
    <row r="58" spans="2:17">
      <c r="B58" s="144" t="s">
        <v>199</v>
      </c>
      <c r="C58" s="145"/>
      <c r="D58" s="145"/>
      <c r="E58" s="156"/>
      <c r="F58" s="157"/>
      <c r="G58" s="157"/>
      <c r="H58" s="157"/>
      <c r="I58" s="157"/>
      <c r="J58" s="157"/>
      <c r="K58" s="146"/>
      <c r="L58" s="119"/>
      <c r="M58" s="119"/>
      <c r="N58" s="119"/>
      <c r="O58" s="119"/>
    </row>
    <row r="59" spans="2:17">
      <c r="B59" s="147" t="s">
        <v>89</v>
      </c>
      <c r="C59" s="142"/>
      <c r="D59" s="155">
        <v>3</v>
      </c>
      <c r="E59" s="140"/>
      <c r="F59" s="140"/>
      <c r="G59" s="141" t="s">
        <v>205</v>
      </c>
      <c r="H59" s="161">
        <f>Phase3begin</f>
        <v>5</v>
      </c>
      <c r="I59" s="140"/>
      <c r="J59" s="141" t="s">
        <v>202</v>
      </c>
      <c r="K59" s="158">
        <f>summary!AF84</f>
        <v>0</v>
      </c>
    </row>
    <row r="60" spans="2:17">
      <c r="B60" s="147" t="s">
        <v>94</v>
      </c>
      <c r="C60" s="142"/>
      <c r="D60" s="152" t="s">
        <v>157</v>
      </c>
      <c r="E60" s="140"/>
      <c r="F60" s="140"/>
      <c r="G60" s="141" t="s">
        <v>206</v>
      </c>
      <c r="H60" s="161">
        <f>Phase3end</f>
        <v>6</v>
      </c>
      <c r="I60" s="140"/>
      <c r="J60" s="140"/>
      <c r="K60" s="148"/>
    </row>
    <row r="61" spans="2:17" ht="9.3000000000000007" thickBot="1">
      <c r="B61" s="159"/>
      <c r="C61" s="160"/>
      <c r="D61" s="160"/>
      <c r="E61" s="160"/>
      <c r="F61" s="160"/>
      <c r="G61" s="150" t="s">
        <v>200</v>
      </c>
      <c r="H61" s="153">
        <f>Phase3open</f>
        <v>7</v>
      </c>
      <c r="I61" s="160"/>
      <c r="J61" s="160"/>
      <c r="K61" s="149"/>
    </row>
    <row r="62" spans="2:17">
      <c r="C62" s="136"/>
      <c r="D62" s="120"/>
    </row>
    <row r="63" spans="2:17">
      <c r="B63" s="121" t="s">
        <v>183</v>
      </c>
      <c r="C63" s="121"/>
      <c r="E63" s="122">
        <f>IF(OR(E$2=$H61,E$2&gt;$H61),INDEX(summary!$A$2:$D$24,MATCH($D60,summary!$A$2:$A$24,0),MATCH($D59,summary!$A$2:$D$2,0)),0)</f>
        <v>0</v>
      </c>
      <c r="F63" s="122">
        <f>IF(OR(F$2=$H61,F$2&gt;$H61),INDEX(summary!$A$2:$D$24,MATCH($D60,summary!$A$2:$A$24,0),MATCH($D59,summary!$A$2:$D$2,0)),0)</f>
        <v>0</v>
      </c>
      <c r="G63" s="122">
        <f>IF(OR(G$2=$H61,G$2&gt;$H61),INDEX(summary!$A$2:$D$24,MATCH($D60,summary!$A$2:$A$24,0),MATCH($D59,summary!$A$2:$D$2,0)),0)</f>
        <v>0</v>
      </c>
      <c r="H63" s="122">
        <f>IF(OR(H$2=$H61,H$2&gt;$H61),INDEX(summary!$A$2:$D$24,MATCH($D60,summary!$A$2:$A$24,0),MATCH($D59,summary!$A$2:$D$2,0)),0)</f>
        <v>0</v>
      </c>
      <c r="I63" s="122">
        <f>IF(OR(I$2=$H61,I$2&gt;$H61),INDEX(summary!$A$2:$D$24,MATCH($D60,summary!$A$2:$A$24,0),MATCH($D59,summary!$A$2:$D$2,0)),0)</f>
        <v>0</v>
      </c>
      <c r="J63" s="122">
        <f>IF(OR(J$2=$H61,J$2&gt;$H61),INDEX(summary!$A$2:$D$24,MATCH($D60,summary!$A$2:$A$24,0),MATCH($D59,summary!$A$2:$D$2,0)),0)</f>
        <v>0</v>
      </c>
      <c r="K63" s="122">
        <f>IF(OR(K$2=$H61,K$2&gt;$H61),INDEX(summary!$A$2:$D$24,MATCH($D60,summary!$A$2:$A$24,0),MATCH($D59,summary!$A$2:$D$2,0)),0)</f>
        <v>0</v>
      </c>
      <c r="L63" s="122">
        <f>IF(OR(L$2=$H61,L$2&gt;$H61),INDEX(summary!$A$2:$D$24,MATCH($D60,summary!$A$2:$A$24,0),MATCH($D59,summary!$A$2:$D$2,0)),0)</f>
        <v>0</v>
      </c>
      <c r="M63" s="122">
        <f>IF(OR(M$2=$H61,M$2&gt;$H61),INDEX(summary!$A$2:$D$24,MATCH($D60,summary!$A$2:$A$24,0),MATCH($D59,summary!$A$2:$D$2,0)),0)</f>
        <v>0</v>
      </c>
      <c r="N63" s="122">
        <f>IF(OR(N$2=$H61,N$2&gt;$H61),INDEX(summary!$A$2:$D$24,MATCH($D60,summary!$A$2:$A$24,0),MATCH($D59,summary!$A$2:$D$2,0)),0)</f>
        <v>0</v>
      </c>
      <c r="O63" s="122">
        <f>IF(OR(O$2=$H61,O$2&gt;$H61),INDEX(summary!$A$2:$D$24,MATCH($D60,summary!$A$2:$A$24,0),MATCH($D59,summary!$A$2:$D$2,0)),0)</f>
        <v>0</v>
      </c>
    </row>
    <row r="64" spans="2:17">
      <c r="B64" s="121" t="s">
        <v>195</v>
      </c>
      <c r="C64" s="137" t="s">
        <v>192</v>
      </c>
      <c r="D64" s="123">
        <f>INDEX(cockpit!$J$6:$X$16,MATCH($D60,cockpit!$J$6:$J$16,0),MATCH($C$10,cockpit!$J$6:$X$6,0))</f>
        <v>0.1</v>
      </c>
      <c r="E64" s="122">
        <f>E63*(1-$D64)</f>
        <v>0</v>
      </c>
      <c r="F64" s="122">
        <f t="shared" ref="F64:O64" si="44">F63*(1-$D64)</f>
        <v>0</v>
      </c>
      <c r="G64" s="122">
        <f t="shared" si="44"/>
        <v>0</v>
      </c>
      <c r="H64" s="122">
        <f t="shared" si="44"/>
        <v>0</v>
      </c>
      <c r="I64" s="122">
        <f t="shared" si="44"/>
        <v>0</v>
      </c>
      <c r="J64" s="122">
        <f t="shared" si="44"/>
        <v>0</v>
      </c>
      <c r="K64" s="122">
        <f t="shared" si="44"/>
        <v>0</v>
      </c>
      <c r="L64" s="122">
        <f t="shared" si="44"/>
        <v>0</v>
      </c>
      <c r="M64" s="122">
        <f t="shared" si="44"/>
        <v>0</v>
      </c>
      <c r="N64" s="122">
        <f t="shared" si="44"/>
        <v>0</v>
      </c>
      <c r="O64" s="122">
        <f t="shared" si="44"/>
        <v>0</v>
      </c>
    </row>
    <row r="65" spans="2:15">
      <c r="B65" s="121" t="s">
        <v>268</v>
      </c>
      <c r="C65" s="139"/>
      <c r="E65" s="122">
        <f t="shared" ref="E65:O65" si="45">E67/Condoaveragesize</f>
        <v>0</v>
      </c>
      <c r="F65" s="122">
        <f t="shared" si="45"/>
        <v>0</v>
      </c>
      <c r="G65" s="122">
        <f t="shared" si="45"/>
        <v>0</v>
      </c>
      <c r="H65" s="122">
        <f t="shared" si="45"/>
        <v>0</v>
      </c>
      <c r="I65" s="122">
        <f t="shared" si="45"/>
        <v>0</v>
      </c>
      <c r="J65" s="122">
        <f t="shared" si="45"/>
        <v>0</v>
      </c>
      <c r="K65" s="122">
        <f t="shared" si="45"/>
        <v>0</v>
      </c>
      <c r="L65" s="122">
        <f t="shared" si="45"/>
        <v>0</v>
      </c>
      <c r="M65" s="122">
        <f t="shared" si="45"/>
        <v>0</v>
      </c>
      <c r="N65" s="122">
        <f t="shared" si="45"/>
        <v>0</v>
      </c>
      <c r="O65" s="122">
        <f t="shared" si="45"/>
        <v>0</v>
      </c>
    </row>
    <row r="66" spans="2:15">
      <c r="B66" s="121" t="s">
        <v>181</v>
      </c>
      <c r="C66" s="137" t="s">
        <v>153</v>
      </c>
      <c r="D66" s="138">
        <f>ResidentialCondominiumrampup</f>
        <v>0.5</v>
      </c>
      <c r="E66" s="122">
        <f>IF(OR(E$2=$H61,AND(E$2&gt;$H61,E$2&lt;(SUM($H61,INDEX(cockpit!$J$6:$X$16,MATCH($D60,cockpit!$J$6:$J$16,0),MATCH($C$12,cockpit!$J$6:$X$6,0)))))),E64*$D66,0)</f>
        <v>0</v>
      </c>
      <c r="F66" s="122">
        <f>IF(OR(F$2=$H61,AND(F$2&gt;$H61,F$2&lt;(SUM($H61,INDEX(cockpit!$J$6:$X$16,MATCH($D60,cockpit!$J$6:$J$16,0),MATCH($C$12,cockpit!$J$6:$X$6,0)))))),F64*$D66,0)</f>
        <v>0</v>
      </c>
      <c r="G66" s="122">
        <f>IF(OR(G$2=$H61,AND(G$2&gt;$H61,G$2&lt;(SUM($H61,INDEX(cockpit!$J$6:$X$16,MATCH($D60,cockpit!$J$6:$J$16,0),MATCH($C$12,cockpit!$J$6:$X$6,0)))))),G64*$D66,0)</f>
        <v>0</v>
      </c>
      <c r="H66" s="122">
        <f>IF(OR(H$2=$H61,AND(H$2&gt;$H61,H$2&lt;(SUM($H61,INDEX(cockpit!$J$6:$X$16,MATCH($D60,cockpit!$J$6:$J$16,0),MATCH($C$12,cockpit!$J$6:$X$6,0)))))),H64*$D66,0)</f>
        <v>0</v>
      </c>
      <c r="I66" s="122">
        <f>IF(OR(I$2=$H61,AND(I$2&gt;$H61,I$2&lt;(SUM($H61,INDEX(cockpit!$J$6:$X$16,MATCH($D60,cockpit!$J$6:$J$16,0),MATCH($C$12,cockpit!$J$6:$X$6,0)))))),I64*$D66,0)</f>
        <v>0</v>
      </c>
      <c r="J66" s="122">
        <f>IF(OR(J$2=$H61,AND(J$2&gt;$H61,J$2&lt;(SUM($H61,INDEX(cockpit!$J$6:$X$16,MATCH($D60,cockpit!$J$6:$J$16,0),MATCH($C$12,cockpit!$J$6:$X$6,0)))))),J64*$D66,0)</f>
        <v>0</v>
      </c>
      <c r="K66" s="122">
        <f>IF(OR(K$2=$H61,AND(K$2&gt;$H61,K$2&lt;(SUM($H61,INDEX(cockpit!$J$6:$X$16,MATCH($D60,cockpit!$J$6:$J$16,0),MATCH($C$12,cockpit!$J$6:$X$6,0)))))),K64*$D66,0)</f>
        <v>0</v>
      </c>
      <c r="L66" s="122">
        <f>IF(OR(L$2=$H61,AND(L$2&gt;$H61,L$2&lt;(SUM($H61,INDEX(cockpit!$J$6:$X$16,MATCH($D60,cockpit!$J$6:$J$16,0),MATCH($C$12,cockpit!$J$6:$X$6,0)))))),L64*$D66,0)</f>
        <v>0</v>
      </c>
      <c r="M66" s="122">
        <f>IF(OR(M$2=$H61,AND(M$2&gt;$H61,M$2&lt;(SUM($H61,INDEX(cockpit!$J$6:$X$16,MATCH($D60,cockpit!$J$6:$J$16,0),MATCH($C$12,cockpit!$J$6:$X$6,0)))))),M64*$D66,0)</f>
        <v>0</v>
      </c>
      <c r="N66" s="122">
        <f>IF(OR(N$2=$H61,AND(N$2&gt;$H61,N$2&lt;(SUM($H61,INDEX(cockpit!$J$6:$X$16,MATCH($D60,cockpit!$J$6:$J$16,0),MATCH($C$12,cockpit!$J$6:$X$6,0)))))),N64*$D66,0)</f>
        <v>0</v>
      </c>
      <c r="O66" s="122">
        <f>IF(OR(O$2=$H61,AND(O$2&gt;$H61,O$2&lt;(SUM($H61,INDEX(cockpit!$J$6:$X$16,MATCH($D60,cockpit!$J$6:$J$16,0),MATCH($C$12,cockpit!$J$6:$X$6,0)))))),O64*$D66,0)</f>
        <v>0</v>
      </c>
    </row>
    <row r="67" spans="2:15">
      <c r="B67" s="121" t="s">
        <v>182</v>
      </c>
      <c r="C67" s="139"/>
      <c r="E67" s="122">
        <f>SUM($E66:E66)</f>
        <v>0</v>
      </c>
      <c r="F67" s="122">
        <f>SUM($E66:F66)</f>
        <v>0</v>
      </c>
      <c r="G67" s="122">
        <f>SUM($E66:G66)</f>
        <v>0</v>
      </c>
      <c r="H67" s="122">
        <f>SUM($E66:H66)</f>
        <v>0</v>
      </c>
      <c r="I67" s="122">
        <f>SUM($E66:I66)</f>
        <v>0</v>
      </c>
      <c r="J67" s="122">
        <f>SUM($E66:J66)</f>
        <v>0</v>
      </c>
      <c r="K67" s="122">
        <f>SUM($E66:K66)</f>
        <v>0</v>
      </c>
      <c r="L67" s="122">
        <f>SUM($E66:L66)</f>
        <v>0</v>
      </c>
      <c r="M67" s="122">
        <f>SUM($E66:M66)</f>
        <v>0</v>
      </c>
      <c r="N67" s="122">
        <f>SUM($E66:N66)</f>
        <v>0</v>
      </c>
      <c r="O67" s="122">
        <f>SUM($E66:O66)</f>
        <v>0</v>
      </c>
    </row>
    <row r="68" spans="2:15">
      <c r="B68" s="121" t="s">
        <v>269</v>
      </c>
      <c r="C68" s="139"/>
      <c r="E68" s="240">
        <f t="shared" ref="E68:O68" si="46">ROUNDDOWN(E66/Condoaveragesize,0)</f>
        <v>0</v>
      </c>
      <c r="F68" s="240">
        <f t="shared" si="46"/>
        <v>0</v>
      </c>
      <c r="G68" s="240">
        <f t="shared" si="46"/>
        <v>0</v>
      </c>
      <c r="H68" s="240">
        <f t="shared" si="46"/>
        <v>0</v>
      </c>
      <c r="I68" s="240">
        <f t="shared" si="46"/>
        <v>0</v>
      </c>
      <c r="J68" s="240">
        <f t="shared" si="46"/>
        <v>0</v>
      </c>
      <c r="K68" s="240">
        <f t="shared" si="46"/>
        <v>0</v>
      </c>
      <c r="L68" s="240">
        <f t="shared" si="46"/>
        <v>0</v>
      </c>
      <c r="M68" s="240">
        <f t="shared" si="46"/>
        <v>0</v>
      </c>
      <c r="N68" s="240">
        <f t="shared" si="46"/>
        <v>0</v>
      </c>
      <c r="O68" s="240">
        <f t="shared" si="46"/>
        <v>0</v>
      </c>
    </row>
    <row r="69" spans="2:15">
      <c r="H69" s="241">
        <f>H68*Condoaveragesize</f>
        <v>0</v>
      </c>
      <c r="I69" s="241">
        <f>H69*300</f>
        <v>0</v>
      </c>
    </row>
    <row r="70" spans="2:15">
      <c r="C70" s="139"/>
    </row>
    <row r="71" spans="2:15">
      <c r="B71" s="121" t="s">
        <v>167</v>
      </c>
      <c r="C71" s="139"/>
      <c r="D71" s="124">
        <f>(CondosalePSF*(1-$K59))+((CondosalePSF*(1+premiumprices)*$K59))</f>
        <v>275</v>
      </c>
      <c r="E71" s="125">
        <f t="shared" ref="E71:O71" si="47">(E68*Condoaveragesize)*($D71*((1+Inflation)^(E$2-1)))</f>
        <v>0</v>
      </c>
      <c r="F71" s="125">
        <f t="shared" si="47"/>
        <v>0</v>
      </c>
      <c r="G71" s="125">
        <f t="shared" si="47"/>
        <v>0</v>
      </c>
      <c r="H71" s="125">
        <f t="shared" si="47"/>
        <v>0</v>
      </c>
      <c r="I71" s="125">
        <f t="shared" si="47"/>
        <v>0</v>
      </c>
      <c r="J71" s="125">
        <f t="shared" si="47"/>
        <v>0</v>
      </c>
      <c r="K71" s="125">
        <f t="shared" si="47"/>
        <v>0</v>
      </c>
      <c r="L71" s="125">
        <f t="shared" si="47"/>
        <v>0</v>
      </c>
      <c r="M71" s="125">
        <f t="shared" si="47"/>
        <v>0</v>
      </c>
      <c r="N71" s="125">
        <f t="shared" si="47"/>
        <v>0</v>
      </c>
      <c r="O71" s="125">
        <f t="shared" si="47"/>
        <v>0</v>
      </c>
    </row>
    <row r="72" spans="2:15">
      <c r="B72" s="121" t="s">
        <v>270</v>
      </c>
      <c r="C72" s="139"/>
      <c r="D72" s="138">
        <f>Condocostofsale</f>
        <v>0.05</v>
      </c>
      <c r="E72" s="126">
        <f>-E71*$D72</f>
        <v>0</v>
      </c>
      <c r="F72" s="126">
        <f t="shared" ref="F72" si="48">-F71*$D72</f>
        <v>0</v>
      </c>
      <c r="G72" s="126">
        <f t="shared" ref="G72" si="49">-G71*$D72</f>
        <v>0</v>
      </c>
      <c r="H72" s="126">
        <f t="shared" ref="H72" si="50">-H71*$D72</f>
        <v>0</v>
      </c>
      <c r="I72" s="126">
        <f t="shared" ref="I72" si="51">-I71*$D72</f>
        <v>0</v>
      </c>
      <c r="J72" s="126">
        <f t="shared" ref="J72" si="52">-J71*$D72</f>
        <v>0</v>
      </c>
      <c r="K72" s="126">
        <f t="shared" ref="K72" si="53">-K71*$D72</f>
        <v>0</v>
      </c>
      <c r="L72" s="126">
        <f t="shared" ref="L72" si="54">-L71*$D72</f>
        <v>0</v>
      </c>
      <c r="M72" s="126">
        <f t="shared" ref="M72" si="55">-M71*$D72</f>
        <v>0</v>
      </c>
      <c r="N72" s="126">
        <f t="shared" ref="N72" si="56">-N71*$D72</f>
        <v>0</v>
      </c>
      <c r="O72" s="126">
        <f t="shared" ref="O72" si="57">-O71*$D72</f>
        <v>0</v>
      </c>
    </row>
    <row r="73" spans="2:15">
      <c r="B73" s="127" t="s">
        <v>168</v>
      </c>
      <c r="C73" s="139"/>
      <c r="E73" s="125">
        <f>SUM(E71:E72)</f>
        <v>0</v>
      </c>
      <c r="F73" s="125">
        <f t="shared" ref="F73:O73" si="58">SUM(F71:F72)</f>
        <v>0</v>
      </c>
      <c r="G73" s="125">
        <f t="shared" si="58"/>
        <v>0</v>
      </c>
      <c r="H73" s="125">
        <f t="shared" si="58"/>
        <v>0</v>
      </c>
      <c r="I73" s="125">
        <f t="shared" si="58"/>
        <v>0</v>
      </c>
      <c r="J73" s="125">
        <f t="shared" si="58"/>
        <v>0</v>
      </c>
      <c r="K73" s="125">
        <f t="shared" si="58"/>
        <v>0</v>
      </c>
      <c r="L73" s="125">
        <f t="shared" si="58"/>
        <v>0</v>
      </c>
      <c r="M73" s="125">
        <f t="shared" si="58"/>
        <v>0</v>
      </c>
      <c r="N73" s="125">
        <f t="shared" si="58"/>
        <v>0</v>
      </c>
      <c r="O73" s="125">
        <f t="shared" si="58"/>
        <v>0</v>
      </c>
    </row>
    <row r="74" spans="2:15">
      <c r="C74" s="139"/>
      <c r="E74" s="217">
        <f>IFERROR(E73/E71,0)</f>
        <v>0</v>
      </c>
      <c r="F74" s="217">
        <f t="shared" ref="F74" si="59">IFERROR(F73/F71,0)</f>
        <v>0</v>
      </c>
      <c r="G74" s="217">
        <f t="shared" ref="G74" si="60">IFERROR(G73/G71,0)</f>
        <v>0</v>
      </c>
      <c r="H74" s="217">
        <f t="shared" ref="H74" si="61">IFERROR(H73/H71,0)</f>
        <v>0</v>
      </c>
      <c r="I74" s="217">
        <f t="shared" ref="I74" si="62">IFERROR(I73/I71,0)</f>
        <v>0</v>
      </c>
      <c r="J74" s="217">
        <f t="shared" ref="J74" si="63">IFERROR(J73/J71,0)</f>
        <v>0</v>
      </c>
      <c r="K74" s="217">
        <f t="shared" ref="K74" si="64">IFERROR(K73/K71,0)</f>
        <v>0</v>
      </c>
      <c r="L74" s="217">
        <f t="shared" ref="L74" si="65">IFERROR(L73/L71,0)</f>
        <v>0</v>
      </c>
      <c r="M74" s="217">
        <f t="shared" ref="M74" si="66">IFERROR(M73/M71,0)</f>
        <v>0</v>
      </c>
      <c r="N74" s="217">
        <f t="shared" ref="N74" si="67">IFERROR(N73/N71,0)</f>
        <v>0</v>
      </c>
      <c r="O74" s="217">
        <f t="shared" ref="O74" si="68">IFERROR(O73/O71,0)</f>
        <v>0</v>
      </c>
    </row>
    <row r="75" spans="2:15">
      <c r="B75" s="121" t="s">
        <v>169</v>
      </c>
      <c r="C75" s="139"/>
      <c r="D75" s="128">
        <f>INDEX(cockpit!$J$6:$X$16,MATCH($D60,cockpit!$J$6:$J$16,0),MATCH($B75,cockpit!$J$6:$X$6,0))</f>
        <v>0</v>
      </c>
      <c r="E75" s="125">
        <f>-E64*$D75</f>
        <v>0</v>
      </c>
      <c r="F75" s="125">
        <f t="shared" ref="F75:O75" si="69">-F64*$D75</f>
        <v>0</v>
      </c>
      <c r="G75" s="125">
        <f t="shared" si="69"/>
        <v>0</v>
      </c>
      <c r="H75" s="125">
        <f t="shared" si="69"/>
        <v>0</v>
      </c>
      <c r="I75" s="125">
        <f t="shared" si="69"/>
        <v>0</v>
      </c>
      <c r="J75" s="125">
        <f t="shared" si="69"/>
        <v>0</v>
      </c>
      <c r="K75" s="125">
        <f t="shared" si="69"/>
        <v>0</v>
      </c>
      <c r="L75" s="125">
        <f t="shared" si="69"/>
        <v>0</v>
      </c>
      <c r="M75" s="125">
        <f t="shared" si="69"/>
        <v>0</v>
      </c>
      <c r="N75" s="125">
        <f t="shared" si="69"/>
        <v>0</v>
      </c>
      <c r="O75" s="125">
        <f t="shared" si="69"/>
        <v>0</v>
      </c>
    </row>
    <row r="76" spans="2:15">
      <c r="B76" s="121" t="s">
        <v>163</v>
      </c>
      <c r="C76" s="139"/>
      <c r="D76" s="128">
        <f>INDEX(cockpit!$J$6:$X$16,MATCH($D60,cockpit!$J$6:$J$16,0),MATCH($B76,cockpit!$J$6:$X$6,0))</f>
        <v>0</v>
      </c>
      <c r="E76" s="126">
        <f>-E67*$D76</f>
        <v>0</v>
      </c>
      <c r="F76" s="126">
        <f t="shared" ref="F76:O76" si="70">-F67*$D76</f>
        <v>0</v>
      </c>
      <c r="G76" s="126">
        <f t="shared" si="70"/>
        <v>0</v>
      </c>
      <c r="H76" s="126">
        <f t="shared" si="70"/>
        <v>0</v>
      </c>
      <c r="I76" s="126">
        <f t="shared" si="70"/>
        <v>0</v>
      </c>
      <c r="J76" s="126">
        <f t="shared" si="70"/>
        <v>0</v>
      </c>
      <c r="K76" s="126">
        <f t="shared" si="70"/>
        <v>0</v>
      </c>
      <c r="L76" s="126">
        <f t="shared" si="70"/>
        <v>0</v>
      </c>
      <c r="M76" s="126">
        <f t="shared" si="70"/>
        <v>0</v>
      </c>
      <c r="N76" s="126">
        <f t="shared" si="70"/>
        <v>0</v>
      </c>
      <c r="O76" s="126">
        <f t="shared" si="70"/>
        <v>0</v>
      </c>
    </row>
    <row r="77" spans="2:15">
      <c r="B77" s="127" t="s">
        <v>196</v>
      </c>
      <c r="C77" s="139"/>
      <c r="D77" s="128"/>
      <c r="E77" s="129">
        <f>SUM(E75:E76)</f>
        <v>0</v>
      </c>
      <c r="F77" s="129">
        <f t="shared" ref="F77:O77" si="71">SUM(F75:F76)</f>
        <v>0</v>
      </c>
      <c r="G77" s="129">
        <f t="shared" si="71"/>
        <v>0</v>
      </c>
      <c r="H77" s="129">
        <f t="shared" si="71"/>
        <v>0</v>
      </c>
      <c r="I77" s="129">
        <f t="shared" si="71"/>
        <v>0</v>
      </c>
      <c r="J77" s="129">
        <f t="shared" si="71"/>
        <v>0</v>
      </c>
      <c r="K77" s="129">
        <f t="shared" si="71"/>
        <v>0</v>
      </c>
      <c r="L77" s="129">
        <f t="shared" si="71"/>
        <v>0</v>
      </c>
      <c r="M77" s="129">
        <f t="shared" si="71"/>
        <v>0</v>
      </c>
      <c r="N77" s="129">
        <f t="shared" si="71"/>
        <v>0</v>
      </c>
      <c r="O77" s="129">
        <f t="shared" si="71"/>
        <v>0</v>
      </c>
    </row>
    <row r="78" spans="2:15">
      <c r="B78" s="121"/>
      <c r="C78" s="139"/>
    </row>
    <row r="79" spans="2:15">
      <c r="B79" s="121" t="s">
        <v>171</v>
      </c>
      <c r="C79" s="139"/>
      <c r="D79" s="124">
        <f>(CondoconstructionPSF*(1-$K59))+((ResidentialaffordablecostPSF*(1+premiumprices)*$K59))</f>
        <v>175</v>
      </c>
      <c r="E79" s="125">
        <f>-IF(OR(E$2=$H59,E$2=$H60,AND(E$2&gt;$H59,E$2&lt;$H60)),(INDEX(summary!$A$2:$D$24,MATCH($D60,summary!$A$2:$A$24,0),MATCH($D59,summary!$A$2:$D$2,0)))/Constructiontime)*($D79*((1+Inflation)^(E$2-1)))*(1+Developerfee)</f>
        <v>0</v>
      </c>
      <c r="F79" s="125">
        <f>-IF(OR(F$2=$H59,F$2=$H60,AND(F$2&gt;$H59,F$2&lt;$H60)),(INDEX(summary!$A$2:$D$24,MATCH($D60,summary!$A$2:$A$24,0),MATCH($D59,summary!$A$2:$D$2,0)))/Constructiontime)*($D79*((1+Inflation)^(F$2-1)))*(1+Developerfee)</f>
        <v>0</v>
      </c>
      <c r="G79" s="125">
        <f>-IF(OR(G$2=$H59,G$2=$H60,AND(G$2&gt;$H59,G$2&lt;$H60)),(INDEX(summary!$A$2:$D$24,MATCH($D60,summary!$A$2:$A$24,0),MATCH($D59,summary!$A$2:$D$2,0)))/Constructiontime)*($D79*((1+Inflation)^(G$2-1)))*(1+Developerfee)</f>
        <v>0</v>
      </c>
      <c r="H79" s="125">
        <f>-IF(OR(H$2=$H59,H$2=$H60,AND(H$2&gt;$H59,H$2&lt;$H60)),(INDEX(summary!$A$2:$D$24,MATCH($D60,summary!$A$2:$A$24,0),MATCH($D59,summary!$A$2:$D$2,0)))/Constructiontime)*($D79*((1+Inflation)^(H$2-1)))*(1+Developerfee)</f>
        <v>0</v>
      </c>
      <c r="I79" s="125">
        <f>-IF(OR(I$2=$H59,I$2=$H60,AND(I$2&gt;$H59,I$2&lt;$H60)),(INDEX(summary!$A$2:$D$24,MATCH($D60,summary!$A$2:$A$24,0),MATCH($D59,summary!$A$2:$D$2,0)))/Constructiontime)*($D79*((1+Inflation)^(I$2-1)))*(1+Developerfee)</f>
        <v>0</v>
      </c>
      <c r="J79" s="125">
        <f>-IF(OR(J$2=$H59,J$2=$H60,AND(J$2&gt;$H59,J$2&lt;$H60)),(INDEX(summary!$A$2:$D$24,MATCH($D60,summary!$A$2:$A$24,0),MATCH($D59,summary!$A$2:$D$2,0)))/Constructiontime)*($D79*((1+Inflation)^(J$2-1)))*(1+Developerfee)</f>
        <v>0</v>
      </c>
      <c r="K79" s="125">
        <f>-IF(OR(K$2=$H59,K$2=$H60,AND(K$2&gt;$H59,K$2&lt;$H60)),(INDEX(summary!$A$2:$D$24,MATCH($D60,summary!$A$2:$A$24,0),MATCH($D59,summary!$A$2:$D$2,0)))/Constructiontime)*($D79*((1+Inflation)^(K$2-1)))*(1+Developerfee)</f>
        <v>0</v>
      </c>
      <c r="L79" s="125">
        <f>-IF(OR(L$2=$H59,L$2=$H60,AND(L$2&gt;$H59,L$2&lt;$H60)),(INDEX(summary!$A$2:$D$24,MATCH($D60,summary!$A$2:$A$24,0),MATCH($D59,summary!$A$2:$D$2,0)))/Constructiontime)*($D79*((1+Inflation)^(L$2-1)))*(1+Developerfee)</f>
        <v>0</v>
      </c>
      <c r="M79" s="125">
        <f>-IF(OR(M$2=$H59,M$2=$H60,AND(M$2&gt;$H59,M$2&lt;$H60)),(INDEX(summary!$A$2:$D$24,MATCH($D60,summary!$A$2:$A$24,0),MATCH($D59,summary!$A$2:$D$2,0)))/Constructiontime)*($D79*((1+Inflation)^(M$2-1)))*(1+Developerfee)</f>
        <v>0</v>
      </c>
      <c r="N79" s="125">
        <f>-IF(OR(N$2=$H59,N$2=$H60,AND(N$2&gt;$H59,N$2&lt;$H60)),(INDEX(summary!$A$2:$D$24,MATCH($D60,summary!$A$2:$A$24,0),MATCH($D59,summary!$A$2:$D$2,0)))/Constructiontime)*($D79*((1+Inflation)^(N$2-1)))*(1+Developerfee)</f>
        <v>0</v>
      </c>
      <c r="O79" s="125">
        <f>-IF(OR(O$2=$H59,O$2=$H60,AND(O$2&gt;$H59,O$2&lt;$H60)),(INDEX(summary!$A$2:$D$24,MATCH($D60,summary!$A$2:$A$24,0),MATCH($D59,summary!$A$2:$D$2,0)))/Constructiontime)*($D79*((1+Inflation)^(O$2-1)))*(1+Developerfee)</f>
        <v>0</v>
      </c>
    </row>
    <row r="80" spans="2:15">
      <c r="B80" s="121" t="s">
        <v>198</v>
      </c>
      <c r="C80" s="139" t="s">
        <v>190</v>
      </c>
      <c r="D80" s="138">
        <f>(INDEX(cockpit!$J$6:$X$16,MATCH($D60,cockpit!$J$6:$J$16,0),MATCH($C80,cockpit!$J$6:$X$6,0))*(1-$K59))+((INDEX(cockpit!$J$6:$X$16,MATCH($D60,cockpit!$J$6:$J$16,0),MATCH($C80,cockpit!$J$6:$X$6,0))-(Premiumexitcaprate))*$K59)</f>
        <v>7.0000000000000007E-2</v>
      </c>
      <c r="E80" s="126">
        <f t="shared" ref="E80:O80" si="72">IF(E$2=dispositionyear,E73/$D80,0)*(1-Closingcosts)</f>
        <v>0</v>
      </c>
      <c r="F80" s="126">
        <f t="shared" si="72"/>
        <v>0</v>
      </c>
      <c r="G80" s="126">
        <f t="shared" si="72"/>
        <v>0</v>
      </c>
      <c r="H80" s="126">
        <f t="shared" si="72"/>
        <v>0</v>
      </c>
      <c r="I80" s="126">
        <f t="shared" si="72"/>
        <v>0</v>
      </c>
      <c r="J80" s="126">
        <f t="shared" si="72"/>
        <v>0</v>
      </c>
      <c r="K80" s="126">
        <f t="shared" si="72"/>
        <v>0</v>
      </c>
      <c r="L80" s="126">
        <f t="shared" si="72"/>
        <v>0</v>
      </c>
      <c r="M80" s="126">
        <f t="shared" si="72"/>
        <v>0</v>
      </c>
      <c r="N80" s="126">
        <f t="shared" si="72"/>
        <v>0</v>
      </c>
      <c r="O80" s="126">
        <f t="shared" si="72"/>
        <v>0</v>
      </c>
    </row>
    <row r="81" spans="2:15">
      <c r="B81" s="127" t="s">
        <v>197</v>
      </c>
      <c r="C81" s="139"/>
      <c r="D81" s="123"/>
      <c r="E81" s="129">
        <f>SUM(E79:E80)</f>
        <v>0</v>
      </c>
      <c r="F81" s="129">
        <f t="shared" ref="F81:O81" si="73">SUM(F79:F80)</f>
        <v>0</v>
      </c>
      <c r="G81" s="129">
        <f t="shared" si="73"/>
        <v>0</v>
      </c>
      <c r="H81" s="129">
        <f t="shared" si="73"/>
        <v>0</v>
      </c>
      <c r="I81" s="129">
        <f t="shared" si="73"/>
        <v>0</v>
      </c>
      <c r="J81" s="129">
        <f t="shared" si="73"/>
        <v>0</v>
      </c>
      <c r="K81" s="129">
        <f t="shared" si="73"/>
        <v>0</v>
      </c>
      <c r="L81" s="129">
        <f t="shared" si="73"/>
        <v>0</v>
      </c>
      <c r="M81" s="129">
        <f t="shared" si="73"/>
        <v>0</v>
      </c>
      <c r="N81" s="129">
        <f t="shared" si="73"/>
        <v>0</v>
      </c>
      <c r="O81" s="129">
        <f t="shared" si="73"/>
        <v>0</v>
      </c>
    </row>
    <row r="82" spans="2:15">
      <c r="B82" s="121"/>
      <c r="C82" s="139"/>
      <c r="D82" s="123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</row>
    <row r="83" spans="2:15">
      <c r="B83" s="127" t="s">
        <v>170</v>
      </c>
      <c r="C83" s="127"/>
      <c r="D83" s="130" t="e">
        <f ca="1">IRR(OFFSET(E83,0,0,1,Investmenthorizon+1))</f>
        <v>#NUM!</v>
      </c>
      <c r="E83" s="131">
        <f>SUM(E73,E77,E81)</f>
        <v>0</v>
      </c>
      <c r="F83" s="131">
        <f t="shared" ref="F83:O83" si="74">SUM(F73,F77,F81)</f>
        <v>0</v>
      </c>
      <c r="G83" s="131">
        <f t="shared" si="74"/>
        <v>0</v>
      </c>
      <c r="H83" s="131">
        <f t="shared" si="74"/>
        <v>0</v>
      </c>
      <c r="I83" s="131">
        <f t="shared" si="74"/>
        <v>0</v>
      </c>
      <c r="J83" s="131">
        <f t="shared" si="74"/>
        <v>0</v>
      </c>
      <c r="K83" s="131">
        <f t="shared" si="74"/>
        <v>0</v>
      </c>
      <c r="L83" s="131">
        <f t="shared" si="74"/>
        <v>0</v>
      </c>
      <c r="M83" s="131">
        <f t="shared" si="74"/>
        <v>0</v>
      </c>
      <c r="N83" s="131">
        <f t="shared" si="74"/>
        <v>0</v>
      </c>
      <c r="O83" s="131">
        <f t="shared" si="74"/>
        <v>0</v>
      </c>
    </row>
    <row r="84" spans="2:15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FB83D-9B86-486E-891A-232B4F5AE36B}">
  <sheetPr>
    <tabColor theme="9" tint="0.59999389629810485"/>
  </sheetPr>
  <dimension ref="B2:Q75"/>
  <sheetViews>
    <sheetView showGridLines="0" topLeftCell="A5" zoomScale="70" zoomScaleNormal="70" workbookViewId="0">
      <selection activeCell="G15" sqref="G15"/>
    </sheetView>
    <sheetView topLeftCell="A17" zoomScale="55" zoomScaleNormal="55" workbookViewId="1">
      <selection activeCell="G44" sqref="G44"/>
    </sheetView>
  </sheetViews>
  <sheetFormatPr defaultColWidth="8.734375" defaultRowHeight="9"/>
  <cols>
    <col min="1" max="1" width="8.734375" style="117"/>
    <col min="2" max="2" width="24.15625" style="117" bestFit="1" customWidth="1"/>
    <col min="3" max="3" width="1.15625" style="117" customWidth="1"/>
    <col min="4" max="4" width="8.734375" style="117"/>
    <col min="5" max="5" width="9" style="117" bestFit="1" customWidth="1"/>
    <col min="6" max="7" width="11.47265625" style="117" bestFit="1" customWidth="1"/>
    <col min="8" max="8" width="10.3671875" style="117" bestFit="1" customWidth="1"/>
    <col min="9" max="14" width="11.1015625" style="117" bestFit="1" customWidth="1"/>
    <col min="15" max="15" width="11.734375" style="117" bestFit="1" customWidth="1"/>
    <col min="16" max="16384" width="8.734375" style="117"/>
  </cols>
  <sheetData>
    <row r="2" spans="2:17" ht="9.3000000000000007" thickBot="1">
      <c r="B2" s="150" t="s">
        <v>176</v>
      </c>
      <c r="C2" s="150"/>
      <c r="D2" s="151"/>
      <c r="E2" s="151">
        <v>0</v>
      </c>
      <c r="F2" s="151">
        <v>1</v>
      </c>
      <c r="G2" s="151">
        <v>2</v>
      </c>
      <c r="H2" s="151">
        <v>3</v>
      </c>
      <c r="I2" s="151">
        <v>4</v>
      </c>
      <c r="J2" s="151">
        <v>5</v>
      </c>
      <c r="K2" s="151">
        <v>6</v>
      </c>
      <c r="L2" s="151">
        <v>7</v>
      </c>
      <c r="M2" s="151">
        <v>8</v>
      </c>
      <c r="N2" s="151">
        <v>9</v>
      </c>
      <c r="O2" s="151">
        <v>10</v>
      </c>
    </row>
    <row r="3" spans="2:17" ht="9.3000000000000007" thickBot="1"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7">
      <c r="B4" s="144" t="s">
        <v>199</v>
      </c>
      <c r="C4" s="145"/>
      <c r="D4" s="145"/>
      <c r="E4" s="156"/>
      <c r="F4" s="157"/>
      <c r="G4" s="157"/>
      <c r="H4" s="157"/>
      <c r="I4" s="157"/>
      <c r="J4" s="157"/>
      <c r="K4" s="146"/>
      <c r="L4" s="119"/>
      <c r="M4" s="119"/>
      <c r="N4" s="119"/>
      <c r="O4" s="119"/>
    </row>
    <row r="5" spans="2:17">
      <c r="B5" s="147" t="s">
        <v>89</v>
      </c>
      <c r="C5" s="142"/>
      <c r="D5" s="155">
        <f>Phase1</f>
        <v>1</v>
      </c>
      <c r="E5" s="140"/>
      <c r="F5" s="140"/>
      <c r="G5" s="141" t="s">
        <v>205</v>
      </c>
      <c r="H5" s="161">
        <f>Phase1begin</f>
        <v>1</v>
      </c>
      <c r="I5" s="140"/>
      <c r="J5" s="141" t="s">
        <v>202</v>
      </c>
      <c r="K5" s="158">
        <f>summary!AF14</f>
        <v>0</v>
      </c>
    </row>
    <row r="6" spans="2:17">
      <c r="B6" s="147" t="s">
        <v>94</v>
      </c>
      <c r="C6" s="142"/>
      <c r="D6" s="152" t="s">
        <v>141</v>
      </c>
      <c r="E6" s="140"/>
      <c r="F6" s="140"/>
      <c r="G6" s="141" t="s">
        <v>206</v>
      </c>
      <c r="H6" s="161">
        <f>Phase1end</f>
        <v>2</v>
      </c>
      <c r="I6" s="140"/>
      <c r="J6" s="140"/>
      <c r="K6" s="148"/>
    </row>
    <row r="7" spans="2:17" ht="9.3000000000000007" thickBot="1">
      <c r="B7" s="159"/>
      <c r="C7" s="160"/>
      <c r="D7" s="160"/>
      <c r="E7" s="160"/>
      <c r="F7" s="160"/>
      <c r="G7" s="150" t="s">
        <v>200</v>
      </c>
      <c r="H7" s="153">
        <f>Phase1open</f>
        <v>3</v>
      </c>
      <c r="I7" s="160"/>
      <c r="J7" s="160"/>
      <c r="K7" s="149"/>
      <c r="Q7" s="120"/>
    </row>
    <row r="8" spans="2:17">
      <c r="C8" s="136"/>
      <c r="D8" s="120"/>
    </row>
    <row r="9" spans="2:17">
      <c r="B9" s="121" t="s">
        <v>183</v>
      </c>
      <c r="C9" s="121"/>
      <c r="E9" s="122">
        <f>IF(OR(E$2=$H7,E$2&gt;$H7),INDEX(summary!$A$2:$D$24,MATCH($D6,summary!$A$2:$A$24,0),MATCH($D5,summary!$A$2:$D$2,0)),0)</f>
        <v>0</v>
      </c>
      <c r="F9" s="122">
        <f>IF(OR(F$2=$H7,F$2&gt;$H7),INDEX(summary!$A$2:$D$24,MATCH($D6,summary!$A$2:$A$24,0),MATCH($D5,summary!$A$2:$D$2,0)),0)</f>
        <v>0</v>
      </c>
      <c r="G9" s="122">
        <f>IF(OR(G$2=$H7,G$2&gt;$H7),INDEX(summary!$A$2:$D$24,MATCH($D6,summary!$A$2:$A$24,0),MATCH($D5,summary!$A$2:$D$2,0)),0)</f>
        <v>0</v>
      </c>
      <c r="H9" s="122">
        <f>IF(OR(H$2=$H7,H$2&gt;$H7),INDEX(summary!$A$2:$D$24,MATCH($D6,summary!$A$2:$A$24,0),MATCH($D5,summary!$A$2:$D$2,0)),0)</f>
        <v>115104.80587499999</v>
      </c>
      <c r="I9" s="122">
        <f>IF(OR(I$2=$H7,I$2&gt;$H7),INDEX(summary!$A$2:$D$24,MATCH($D6,summary!$A$2:$A$24,0),MATCH($D5,summary!$A$2:$D$2,0)),0)</f>
        <v>115104.80587499999</v>
      </c>
      <c r="J9" s="122">
        <f>IF(OR(J$2=$H7,J$2&gt;$H7),INDEX(summary!$A$2:$D$24,MATCH($D6,summary!$A$2:$A$24,0),MATCH($D5,summary!$A$2:$D$2,0)),0)</f>
        <v>115104.80587499999</v>
      </c>
      <c r="K9" s="122">
        <f>IF(OR(K$2=$H7,K$2&gt;$H7),INDEX(summary!$A$2:$D$24,MATCH($D6,summary!$A$2:$A$24,0),MATCH($D5,summary!$A$2:$D$2,0)),0)</f>
        <v>115104.80587499999</v>
      </c>
      <c r="L9" s="122">
        <f>IF(OR(L$2=$H7,L$2&gt;$H7),INDEX(summary!$A$2:$D$24,MATCH($D6,summary!$A$2:$A$24,0),MATCH($D5,summary!$A$2:$D$2,0)),0)</f>
        <v>115104.80587499999</v>
      </c>
      <c r="M9" s="122">
        <f>IF(OR(M$2=$H7,M$2&gt;$H7),INDEX(summary!$A$2:$D$24,MATCH($D6,summary!$A$2:$A$24,0),MATCH($D5,summary!$A$2:$D$2,0)),0)</f>
        <v>115104.80587499999</v>
      </c>
      <c r="N9" s="122">
        <f>IF(OR(N$2=$H7,N$2&gt;$H7),INDEX(summary!$A$2:$D$24,MATCH($D6,summary!$A$2:$A$24,0),MATCH($D5,summary!$A$2:$D$2,0)),0)</f>
        <v>115104.80587499999</v>
      </c>
      <c r="O9" s="122">
        <f>IF(OR(O$2=$H7,O$2&gt;$H7),INDEX(summary!$A$2:$D$24,MATCH($D6,summary!$A$2:$A$24,0),MATCH($D5,summary!$A$2:$D$2,0)),0)</f>
        <v>115104.80587499999</v>
      </c>
    </row>
    <row r="10" spans="2:17">
      <c r="B10" s="121" t="s">
        <v>195</v>
      </c>
      <c r="C10" s="137" t="s">
        <v>192</v>
      </c>
      <c r="D10" s="123">
        <f>INDEX(cockpit!$J$6:$X$16,MATCH($D6,cockpit!$J$6:$J$16,0),MATCH($C$10,cockpit!$J$6:$X$6,0))</f>
        <v>0.05</v>
      </c>
      <c r="E10" s="122">
        <f>E9*(1-$D10)</f>
        <v>0</v>
      </c>
      <c r="F10" s="122">
        <f t="shared" ref="F10:O10" si="0">F9*(1-$D10)</f>
        <v>0</v>
      </c>
      <c r="G10" s="122">
        <f t="shared" si="0"/>
        <v>0</v>
      </c>
      <c r="H10" s="122">
        <f t="shared" si="0"/>
        <v>109349.56558124999</v>
      </c>
      <c r="I10" s="122">
        <f t="shared" si="0"/>
        <v>109349.56558124999</v>
      </c>
      <c r="J10" s="122">
        <f t="shared" si="0"/>
        <v>109349.56558124999</v>
      </c>
      <c r="K10" s="122">
        <f t="shared" si="0"/>
        <v>109349.56558124999</v>
      </c>
      <c r="L10" s="122">
        <f t="shared" si="0"/>
        <v>109349.56558124999</v>
      </c>
      <c r="M10" s="122">
        <f t="shared" si="0"/>
        <v>109349.56558124999</v>
      </c>
      <c r="N10" s="122">
        <f t="shared" si="0"/>
        <v>109349.56558124999</v>
      </c>
      <c r="O10" s="122">
        <f t="shared" si="0"/>
        <v>109349.56558124999</v>
      </c>
      <c r="Q10" s="136"/>
    </row>
    <row r="11" spans="2:17">
      <c r="B11" s="121" t="s">
        <v>181</v>
      </c>
      <c r="C11" s="137" t="s">
        <v>153</v>
      </c>
      <c r="D11" s="138">
        <f>ResidentialAffordablerampup</f>
        <v>0.97</v>
      </c>
      <c r="E11" s="122">
        <f>IF(OR(E$2=$H7,AND(E$2&gt;$H7,E$2&lt;(SUM($H7,INDEX(cockpit!$J$6:$X$16,MATCH($D6,cockpit!$J$6:$J$16,0),MATCH($C$11,cockpit!$J$6:$X$6,0)))))),E10*$D11,0)</f>
        <v>0</v>
      </c>
      <c r="F11" s="122">
        <f>IF(OR(F$2=$H7,AND(F$2&gt;$H7,F$2&lt;(SUM($H7,INDEX(cockpit!$J$6:$X$16,MATCH($D6,cockpit!$J$6:$J$16,0),MATCH($C$11,cockpit!$J$6:$X$6,0)))))),F10*$D11,0)</f>
        <v>0</v>
      </c>
      <c r="G11" s="122">
        <f>IF(OR(G$2=$H7,AND(G$2&gt;$H7,G$2&lt;(SUM($H7,INDEX(cockpit!$J$6:$X$16,MATCH($D6,cockpit!$J$6:$J$16,0),MATCH($C$11,cockpit!$J$6:$X$6,0)))))),G10*$D11,0)</f>
        <v>0</v>
      </c>
      <c r="H11" s="122">
        <f>IF(OR(H$2=$H7,AND(H$2&gt;$H7,H$2&lt;(SUM($H7,INDEX(cockpit!$J$6:$X$16,MATCH($D6,cockpit!$J$6:$J$16,0),MATCH($C$11,cockpit!$J$6:$X$6,0)))))),H10*$D11,0)</f>
        <v>106069.07861381248</v>
      </c>
      <c r="I11" s="122">
        <f>IF(OR(I$2=$H7,AND(I$2&gt;$H7,I$2&lt;(SUM($H7,INDEX(cockpit!$J$6:$X$16,MATCH($D6,cockpit!$J$6:$J$16,0),MATCH($C$11,cockpit!$J$6:$X$6,0)))))),I10*$D11,0)</f>
        <v>0</v>
      </c>
      <c r="J11" s="122">
        <f>IF(OR(J$2=$H7,AND(J$2&gt;$H7,J$2&lt;(SUM($H7,INDEX(cockpit!$J$6:$X$16,MATCH($D6,cockpit!$J$6:$J$16,0),MATCH($C$11,cockpit!$J$6:$X$6,0)))))),J10*$D11,0)</f>
        <v>0</v>
      </c>
      <c r="K11" s="122">
        <f>IF(OR(K$2=$H7,AND(K$2&gt;$H7,K$2&lt;(SUM($H7,INDEX(cockpit!$J$6:$X$16,MATCH($D6,cockpit!$J$6:$J$16,0),MATCH($C$11,cockpit!$J$6:$X$6,0)))))),K10*$D11,0)</f>
        <v>0</v>
      </c>
      <c r="L11" s="122">
        <f>IF(OR(L$2=$H7,AND(L$2&gt;$H7,L$2&lt;(SUM($H7,INDEX(cockpit!$J$6:$X$16,MATCH($D6,cockpit!$J$6:$J$16,0),MATCH($C$11,cockpit!$J$6:$X$6,0)))))),L10*$D11,0)</f>
        <v>0</v>
      </c>
      <c r="M11" s="122">
        <f>IF(OR(M$2=$H7,AND(M$2&gt;$H7,M$2&lt;(SUM($H7,INDEX(cockpit!$J$6:$X$16,MATCH($D6,cockpit!$J$6:$J$16,0),MATCH($C$11,cockpit!$J$6:$X$6,0)))))),M10*$D11,0)</f>
        <v>0</v>
      </c>
      <c r="N11" s="122">
        <f>IF(OR(N$2=$H7,AND(N$2&gt;$H7,N$2&lt;(SUM($H7,INDEX(cockpit!$J$6:$X$16,MATCH($D6,cockpit!$J$6:$J$16,0),MATCH($C$11,cockpit!$J$6:$X$6,0)))))),N10*$D11,0)</f>
        <v>0</v>
      </c>
      <c r="O11" s="122">
        <f>IF(OR(O$2=$H7,AND(O$2&gt;$H7,O$2&lt;(SUM($H7,INDEX(cockpit!$J$6:$X$16,MATCH($D6,cockpit!$J$6:$J$16,0),MATCH($C$11,cockpit!$J$6:$X$6,0)))))),O10*$D11,0)</f>
        <v>0</v>
      </c>
      <c r="Q11" s="120"/>
    </row>
    <row r="12" spans="2:17" ht="10.5">
      <c r="B12" s="121" t="s">
        <v>182</v>
      </c>
      <c r="C12" s="139"/>
      <c r="E12" s="122">
        <f>SUM($E11:E11)</f>
        <v>0</v>
      </c>
      <c r="F12" s="122">
        <f>SUM($E11:F11)</f>
        <v>0</v>
      </c>
      <c r="G12" s="122">
        <f>SUM($E11:G11)</f>
        <v>0</v>
      </c>
      <c r="H12" s="122">
        <f>SUM($E11:H11)</f>
        <v>106069.07861381248</v>
      </c>
      <c r="I12" s="122">
        <f>SUM($E11:I11)</f>
        <v>106069.07861381248</v>
      </c>
      <c r="J12" s="122">
        <f>SUM($E11:J11)</f>
        <v>106069.07861381248</v>
      </c>
      <c r="K12" s="122">
        <f>SUM($E11:K11)</f>
        <v>106069.07861381248</v>
      </c>
      <c r="L12" s="122">
        <f>SUM($E11:L11)</f>
        <v>106069.07861381248</v>
      </c>
      <c r="M12" s="122">
        <f>SUM($E11:M11)</f>
        <v>106069.07861381248</v>
      </c>
      <c r="N12" s="122">
        <f>SUM($E11:N11)</f>
        <v>106069.07861381248</v>
      </c>
      <c r="O12" s="122">
        <f>SUM($E11:O11)</f>
        <v>106069.07861381248</v>
      </c>
      <c r="Q12" s="40"/>
    </row>
    <row r="13" spans="2:17">
      <c r="C13" s="139"/>
      <c r="Q13" s="120"/>
    </row>
    <row r="14" spans="2:17">
      <c r="B14" s="121" t="s">
        <v>167</v>
      </c>
      <c r="C14" s="139"/>
      <c r="D14" s="124">
        <f>(ResidentialAffordablePSFrate*(1-$K5))+((ResidentialAffordablePSFrate*(1+premiumprices)*$K5))</f>
        <v>1.2738095238095237</v>
      </c>
      <c r="E14" s="125">
        <f t="shared" ref="E14:O14" si="1">E12*($D14*((1+Inflation)^(E$2-1)))*12</f>
        <v>0</v>
      </c>
      <c r="F14" s="125">
        <f t="shared" si="1"/>
        <v>0</v>
      </c>
      <c r="G14" s="125">
        <f t="shared" si="1"/>
        <v>0</v>
      </c>
      <c r="H14" s="125">
        <f t="shared" si="1"/>
        <v>1686843.8321013891</v>
      </c>
      <c r="I14" s="125">
        <f t="shared" si="1"/>
        <v>1720580.7087434167</v>
      </c>
      <c r="J14" s="125">
        <f t="shared" si="1"/>
        <v>1754992.3229182852</v>
      </c>
      <c r="K14" s="125">
        <f t="shared" si="1"/>
        <v>1790092.1693766508</v>
      </c>
      <c r="L14" s="125">
        <f t="shared" si="1"/>
        <v>1825894.012764184</v>
      </c>
      <c r="M14" s="125">
        <f t="shared" si="1"/>
        <v>1862411.8930194671</v>
      </c>
      <c r="N14" s="125">
        <f t="shared" si="1"/>
        <v>1899660.1308798566</v>
      </c>
      <c r="O14" s="125">
        <f t="shared" si="1"/>
        <v>1937653.3334974539</v>
      </c>
    </row>
    <row r="15" spans="2:17">
      <c r="B15" s="121" t="s">
        <v>124</v>
      </c>
      <c r="C15" s="139"/>
      <c r="D15" s="124">
        <f>INDEX(cockpit!$J$6:$X$16,MATCH($D6,cockpit!$J$6:$J$16,0),MATCH($B15,cockpit!$J$6:$X$6,0))</f>
        <v>5</v>
      </c>
      <c r="E15" s="126">
        <f t="shared" ref="E15:O15" si="2">-IF($D15&gt;1,E9*($D15*((1+Inflation)^(E$2-1))),E14*(1-$D15))</f>
        <v>0</v>
      </c>
      <c r="F15" s="126">
        <f t="shared" si="2"/>
        <v>0</v>
      </c>
      <c r="G15" s="126">
        <f t="shared" si="2"/>
        <v>0</v>
      </c>
      <c r="H15" s="126">
        <f t="shared" si="2"/>
        <v>-598775.20016174996</v>
      </c>
      <c r="I15" s="126">
        <f t="shared" si="2"/>
        <v>-610750.70416498487</v>
      </c>
      <c r="J15" s="126">
        <f t="shared" si="2"/>
        <v>-622965.71824828465</v>
      </c>
      <c r="K15" s="126">
        <f t="shared" si="2"/>
        <v>-635425.03261325043</v>
      </c>
      <c r="L15" s="126">
        <f t="shared" si="2"/>
        <v>-648133.53326551546</v>
      </c>
      <c r="M15" s="126">
        <f t="shared" si="2"/>
        <v>-661096.20393082558</v>
      </c>
      <c r="N15" s="126">
        <f t="shared" si="2"/>
        <v>-674318.12800944212</v>
      </c>
      <c r="O15" s="126">
        <f t="shared" si="2"/>
        <v>-687804.49056963099</v>
      </c>
    </row>
    <row r="16" spans="2:17">
      <c r="B16" s="127" t="s">
        <v>168</v>
      </c>
      <c r="C16" s="139"/>
      <c r="E16" s="125">
        <f>SUM(E14:E15)</f>
        <v>0</v>
      </c>
      <c r="F16" s="125">
        <f t="shared" ref="F16:O16" si="3">SUM(F14:F15)</f>
        <v>0</v>
      </c>
      <c r="G16" s="125">
        <f t="shared" si="3"/>
        <v>0</v>
      </c>
      <c r="H16" s="125">
        <f t="shared" si="3"/>
        <v>1088068.6319396391</v>
      </c>
      <c r="I16" s="125">
        <f t="shared" si="3"/>
        <v>1109830.0045784318</v>
      </c>
      <c r="J16" s="125">
        <f t="shared" si="3"/>
        <v>1132026.6046700005</v>
      </c>
      <c r="K16" s="125">
        <f t="shared" si="3"/>
        <v>1154667.1367634004</v>
      </c>
      <c r="L16" s="125">
        <f t="shared" si="3"/>
        <v>1177760.4794986686</v>
      </c>
      <c r="M16" s="125">
        <f t="shared" si="3"/>
        <v>1201315.6890886417</v>
      </c>
      <c r="N16" s="125">
        <f t="shared" si="3"/>
        <v>1225342.0028704144</v>
      </c>
      <c r="O16" s="125">
        <f t="shared" si="3"/>
        <v>1249848.8429278228</v>
      </c>
    </row>
    <row r="17" spans="2:17">
      <c r="C17" s="139"/>
      <c r="E17" s="217">
        <f>IFERROR(E16/E14,0)</f>
        <v>0</v>
      </c>
      <c r="F17" s="217">
        <f t="shared" ref="F17:O17" si="4">IFERROR(F16/F14,0)</f>
        <v>0</v>
      </c>
      <c r="G17" s="217">
        <f t="shared" si="4"/>
        <v>0</v>
      </c>
      <c r="H17" s="217">
        <f t="shared" si="4"/>
        <v>0.64503222600291066</v>
      </c>
      <c r="I17" s="217">
        <f t="shared" si="4"/>
        <v>0.64503222600291066</v>
      </c>
      <c r="J17" s="217">
        <f t="shared" si="4"/>
        <v>0.64503222600291066</v>
      </c>
      <c r="K17" s="217">
        <f t="shared" si="4"/>
        <v>0.64503222600291066</v>
      </c>
      <c r="L17" s="217">
        <f t="shared" si="4"/>
        <v>0.64503222600291066</v>
      </c>
      <c r="M17" s="217">
        <f t="shared" si="4"/>
        <v>0.64503222600291066</v>
      </c>
      <c r="N17" s="217">
        <f t="shared" si="4"/>
        <v>0.64503222600291055</v>
      </c>
      <c r="O17" s="217">
        <f t="shared" si="4"/>
        <v>0.64503222600291066</v>
      </c>
    </row>
    <row r="18" spans="2:17">
      <c r="B18" s="121" t="s">
        <v>169</v>
      </c>
      <c r="C18" s="139"/>
      <c r="D18" s="128">
        <f>INDEX(cockpit!$J$6:$X$16,MATCH($D6,cockpit!$J$6:$J$16,0),MATCH($B18,cockpit!$J$6:$X$6,0))</f>
        <v>0.05</v>
      </c>
      <c r="E18" s="125">
        <f>-E10*$D18</f>
        <v>0</v>
      </c>
      <c r="F18" s="125">
        <f t="shared" ref="F18:O18" si="5">-F10*$D18</f>
        <v>0</v>
      </c>
      <c r="G18" s="125">
        <f t="shared" si="5"/>
        <v>0</v>
      </c>
      <c r="H18" s="125">
        <f t="shared" si="5"/>
        <v>-5467.4782790624995</v>
      </c>
      <c r="I18" s="125">
        <f t="shared" si="5"/>
        <v>-5467.4782790624995</v>
      </c>
      <c r="J18" s="125">
        <f t="shared" si="5"/>
        <v>-5467.4782790624995</v>
      </c>
      <c r="K18" s="125">
        <f t="shared" si="5"/>
        <v>-5467.4782790624995</v>
      </c>
      <c r="L18" s="125">
        <f t="shared" si="5"/>
        <v>-5467.4782790624995</v>
      </c>
      <c r="M18" s="125">
        <f t="shared" si="5"/>
        <v>-5467.4782790624995</v>
      </c>
      <c r="N18" s="125">
        <f t="shared" si="5"/>
        <v>-5467.4782790624995</v>
      </c>
      <c r="O18" s="125">
        <f t="shared" si="5"/>
        <v>-5467.4782790624995</v>
      </c>
    </row>
    <row r="19" spans="2:17">
      <c r="B19" s="121" t="s">
        <v>163</v>
      </c>
      <c r="C19" s="139"/>
      <c r="D19" s="128">
        <f>INDEX(cockpit!$J$6:$X$16,MATCH($D6,cockpit!$J$6:$J$16,0),MATCH($B19,cockpit!$J$6:$X$6,0))</f>
        <v>0</v>
      </c>
      <c r="E19" s="126">
        <f>-E12*$D19</f>
        <v>0</v>
      </c>
      <c r="F19" s="126">
        <f t="shared" ref="F19:O19" si="6">-F12*$D19</f>
        <v>0</v>
      </c>
      <c r="G19" s="126">
        <f t="shared" si="6"/>
        <v>0</v>
      </c>
      <c r="H19" s="126">
        <f t="shared" si="6"/>
        <v>0</v>
      </c>
      <c r="I19" s="126">
        <f t="shared" si="6"/>
        <v>0</v>
      </c>
      <c r="J19" s="126">
        <f t="shared" si="6"/>
        <v>0</v>
      </c>
      <c r="K19" s="126">
        <f t="shared" si="6"/>
        <v>0</v>
      </c>
      <c r="L19" s="126">
        <f t="shared" si="6"/>
        <v>0</v>
      </c>
      <c r="M19" s="126">
        <f t="shared" si="6"/>
        <v>0</v>
      </c>
      <c r="N19" s="126">
        <f t="shared" si="6"/>
        <v>0</v>
      </c>
      <c r="O19" s="126">
        <f t="shared" si="6"/>
        <v>0</v>
      </c>
    </row>
    <row r="20" spans="2:17">
      <c r="B20" s="127" t="s">
        <v>196</v>
      </c>
      <c r="C20" s="139"/>
      <c r="D20" s="128"/>
      <c r="E20" s="129">
        <f>SUM(E18:E19)</f>
        <v>0</v>
      </c>
      <c r="F20" s="129">
        <f t="shared" ref="F20:O20" si="7">SUM(F18:F19)</f>
        <v>0</v>
      </c>
      <c r="G20" s="129">
        <f t="shared" si="7"/>
        <v>0</v>
      </c>
      <c r="H20" s="129">
        <f t="shared" si="7"/>
        <v>-5467.4782790624995</v>
      </c>
      <c r="I20" s="129">
        <f t="shared" si="7"/>
        <v>-5467.4782790624995</v>
      </c>
      <c r="J20" s="129">
        <f t="shared" si="7"/>
        <v>-5467.4782790624995</v>
      </c>
      <c r="K20" s="129">
        <f t="shared" si="7"/>
        <v>-5467.4782790624995</v>
      </c>
      <c r="L20" s="129">
        <f t="shared" si="7"/>
        <v>-5467.4782790624995</v>
      </c>
      <c r="M20" s="129">
        <f t="shared" si="7"/>
        <v>-5467.4782790624995</v>
      </c>
      <c r="N20" s="129">
        <f t="shared" si="7"/>
        <v>-5467.4782790624995</v>
      </c>
      <c r="O20" s="129">
        <f t="shared" si="7"/>
        <v>-5467.4782790624995</v>
      </c>
    </row>
    <row r="21" spans="2:17">
      <c r="B21" s="121"/>
      <c r="C21" s="139"/>
    </row>
    <row r="22" spans="2:17">
      <c r="B22" s="121" t="s">
        <v>171</v>
      </c>
      <c r="C22" s="139"/>
      <c r="D22" s="124">
        <f>(ResidentialaffordablecostPSF*(1-$K5))+((ResidentialaffordablecostPSF*(1+premiumprices)*$K5))</f>
        <v>115</v>
      </c>
      <c r="E22" s="125">
        <f>-IF(OR(E$2=$H5,E$2=$H6,AND(E$2&gt;$H5,E$2&lt;$H6)),(INDEX(summary!$A$2:$D$24,MATCH($D6,summary!$A$2:$A$24,0),MATCH($D5,summary!$A$2:$D$2,0)))/Constructiontime)*($D22*((1+Inflation)^(E$2-1)))*(1+Developerfee)</f>
        <v>0</v>
      </c>
      <c r="F22" s="125">
        <f>-IF(OR(F$2=$H5,F$2=$H6,AND(F$2&gt;$H5,F$2&lt;$H6)),(INDEX(summary!$A$2:$D$24,MATCH($D6,summary!$A$2:$A$24,0),MATCH($D5,summary!$A$2:$D$2,0)))/Constructiontime)*($D22*((1+Inflation)^(F$2-1)))*(1+Developerfee)</f>
        <v>-7611305.2884843731</v>
      </c>
      <c r="G22" s="125">
        <f>-IF(OR(G$2=$H5,G$2=$H6,AND(G$2&gt;$H5,G$2&lt;$H6)),(INDEX(summary!$A$2:$D$24,MATCH($D6,summary!$A$2:$A$24,0),MATCH($D5,summary!$A$2:$D$2,0)))/Constructiontime)*($D22*((1+Inflation)^(G$2-1)))*(1+Developerfee)</f>
        <v>-7763531.3942540614</v>
      </c>
      <c r="H22" s="125">
        <f>-IF(OR(H$2=$H5,H$2=$H6,AND(H$2&gt;$H5,H$2&lt;$H6)),(INDEX(summary!$A$2:$D$24,MATCH($D6,summary!$A$2:$A$24,0),MATCH($D5,summary!$A$2:$D$2,0)))/Constructiontime)*($D22*((1+Inflation)^(H$2-1)))*(1+Developerfee)</f>
        <v>0</v>
      </c>
      <c r="I22" s="125">
        <f>-IF(OR(I$2=$H5,I$2=$H6,AND(I$2&gt;$H5,I$2&lt;$H6)),(INDEX(summary!$A$2:$D$24,MATCH($D6,summary!$A$2:$A$24,0),MATCH($D5,summary!$A$2:$D$2,0)))/Constructiontime)*($D22*((1+Inflation)^(I$2-1)))*(1+Developerfee)</f>
        <v>0</v>
      </c>
      <c r="J22" s="125">
        <f>-IF(OR(J$2=$H5,J$2=$H6,AND(J$2&gt;$H5,J$2&lt;$H6)),(INDEX(summary!$A$2:$D$24,MATCH($D6,summary!$A$2:$A$24,0),MATCH($D5,summary!$A$2:$D$2,0)))/Constructiontime)*($D22*((1+Inflation)^(J$2-1)))*(1+Developerfee)</f>
        <v>0</v>
      </c>
      <c r="K22" s="125">
        <f>-IF(OR(K$2=$H5,K$2=$H6,AND(K$2&gt;$H5,K$2&lt;$H6)),(INDEX(summary!$A$2:$D$24,MATCH($D6,summary!$A$2:$A$24,0),MATCH($D5,summary!$A$2:$D$2,0)))/Constructiontime)*($D22*((1+Inflation)^(K$2-1)))*(1+Developerfee)</f>
        <v>0</v>
      </c>
      <c r="L22" s="125">
        <f>-IF(OR(L$2=$H5,L$2=$H6,AND(L$2&gt;$H5,L$2&lt;$H6)),(INDEX(summary!$A$2:$D$24,MATCH($D6,summary!$A$2:$A$24,0),MATCH($D5,summary!$A$2:$D$2,0)))/Constructiontime)*($D22*((1+Inflation)^(L$2-1)))*(1+Developerfee)</f>
        <v>0</v>
      </c>
      <c r="M22" s="125">
        <f>-IF(OR(M$2=$H5,M$2=$H6,AND(M$2&gt;$H5,M$2&lt;$H6)),(INDEX(summary!$A$2:$D$24,MATCH($D6,summary!$A$2:$A$24,0),MATCH($D5,summary!$A$2:$D$2,0)))/Constructiontime)*($D22*((1+Inflation)^(M$2-1)))*(1+Developerfee)</f>
        <v>0</v>
      </c>
      <c r="N22" s="125">
        <f>-IF(OR(N$2=$H5,N$2=$H6,AND(N$2&gt;$H5,N$2&lt;$H6)),(INDEX(summary!$A$2:$D$24,MATCH($D6,summary!$A$2:$A$24,0),MATCH($D5,summary!$A$2:$D$2,0)))/Constructiontime)*($D22*((1+Inflation)^(N$2-1)))*(1+Developerfee)</f>
        <v>0</v>
      </c>
      <c r="O22" s="125">
        <f>-IF(OR(O$2=$H5,O$2=$H6,AND(O$2&gt;$H5,O$2&lt;$H6)),(INDEX(summary!$A$2:$D$24,MATCH($D6,summary!$A$2:$A$24,0),MATCH($D5,summary!$A$2:$D$2,0)))/Constructiontime)*($D22*((1+Inflation)^(O$2-1)))*(1+Developerfee)</f>
        <v>0</v>
      </c>
    </row>
    <row r="23" spans="2:17">
      <c r="B23" s="121" t="s">
        <v>198</v>
      </c>
      <c r="C23" s="139" t="s">
        <v>190</v>
      </c>
      <c r="D23" s="138">
        <f>(INDEX(cockpit!$J$6:$X$16,MATCH($D6,cockpit!$J$6:$J$16,0),MATCH($C23,cockpit!$J$6:$X$6,0))*(1-$K5))+((INDEX(cockpit!$J$6:$X$16,MATCH($D6,cockpit!$J$6:$J$16,0),MATCH($C23,cockpit!$J$6:$X$6,0))-(Premiumexitcaprate))*$K5)</f>
        <v>6.5000000000000002E-2</v>
      </c>
      <c r="E23" s="126">
        <f t="shared" ref="E23:O23" si="8">IF(E$2=dispositionyear,E16/$D23,0)*(1-Closingcosts)</f>
        <v>0</v>
      </c>
      <c r="F23" s="126">
        <f t="shared" si="8"/>
        <v>0</v>
      </c>
      <c r="G23" s="126">
        <f t="shared" si="8"/>
        <v>0</v>
      </c>
      <c r="H23" s="126">
        <f t="shared" si="8"/>
        <v>0</v>
      </c>
      <c r="I23" s="126">
        <f t="shared" si="8"/>
        <v>0</v>
      </c>
      <c r="J23" s="126">
        <f t="shared" si="8"/>
        <v>0</v>
      </c>
      <c r="K23" s="126">
        <f t="shared" si="8"/>
        <v>0</v>
      </c>
      <c r="L23" s="126">
        <f t="shared" si="8"/>
        <v>0</v>
      </c>
      <c r="M23" s="126">
        <f t="shared" si="8"/>
        <v>0</v>
      </c>
      <c r="N23" s="126">
        <f t="shared" si="8"/>
        <v>0</v>
      </c>
      <c r="O23" s="126">
        <f t="shared" si="8"/>
        <v>18747732.643917341</v>
      </c>
    </row>
    <row r="24" spans="2:17">
      <c r="B24" s="127" t="s">
        <v>197</v>
      </c>
      <c r="C24" s="139"/>
      <c r="D24" s="123"/>
      <c r="E24" s="129">
        <f>SUM(E22:E23)</f>
        <v>0</v>
      </c>
      <c r="F24" s="129">
        <f t="shared" ref="F24:O24" si="9">SUM(F22:F23)</f>
        <v>-7611305.2884843731</v>
      </c>
      <c r="G24" s="129">
        <f t="shared" si="9"/>
        <v>-7763531.3942540614</v>
      </c>
      <c r="H24" s="129">
        <f t="shared" si="9"/>
        <v>0</v>
      </c>
      <c r="I24" s="129">
        <f t="shared" si="9"/>
        <v>0</v>
      </c>
      <c r="J24" s="129">
        <f t="shared" si="9"/>
        <v>0</v>
      </c>
      <c r="K24" s="129">
        <f t="shared" si="9"/>
        <v>0</v>
      </c>
      <c r="L24" s="129">
        <f t="shared" si="9"/>
        <v>0</v>
      </c>
      <c r="M24" s="129">
        <f t="shared" si="9"/>
        <v>0</v>
      </c>
      <c r="N24" s="129">
        <f t="shared" si="9"/>
        <v>0</v>
      </c>
      <c r="O24" s="129">
        <f t="shared" si="9"/>
        <v>18747732.643917341</v>
      </c>
    </row>
    <row r="25" spans="2:17">
      <c r="B25" s="121"/>
      <c r="C25" s="139"/>
      <c r="D25" s="123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2:17">
      <c r="B26" s="127" t="s">
        <v>170</v>
      </c>
      <c r="C26" s="127"/>
      <c r="D26" s="130">
        <f ca="1">IRR(OFFSET(E26,0,0,1,Investmenthorizon+1))</f>
        <v>8.7278070515415473E-2</v>
      </c>
      <c r="E26" s="131">
        <f>SUM(E16,E20,E24)</f>
        <v>0</v>
      </c>
      <c r="F26" s="131">
        <f t="shared" ref="F26:O26" si="10">SUM(F16,F20,F24)</f>
        <v>-7611305.2884843731</v>
      </c>
      <c r="G26" s="131">
        <f t="shared" si="10"/>
        <v>-7763531.3942540614</v>
      </c>
      <c r="H26" s="131">
        <f t="shared" si="10"/>
        <v>1082601.1536605766</v>
      </c>
      <c r="I26" s="131">
        <f t="shared" si="10"/>
        <v>1104362.5262993693</v>
      </c>
      <c r="J26" s="131">
        <f t="shared" si="10"/>
        <v>1126559.1263909379</v>
      </c>
      <c r="K26" s="131">
        <f t="shared" si="10"/>
        <v>1149199.6584843379</v>
      </c>
      <c r="L26" s="131">
        <f t="shared" si="10"/>
        <v>1172293.001219606</v>
      </c>
      <c r="M26" s="131">
        <f t="shared" si="10"/>
        <v>1195848.2108095791</v>
      </c>
      <c r="N26" s="131">
        <f t="shared" si="10"/>
        <v>1219874.5245913519</v>
      </c>
      <c r="O26" s="131">
        <f t="shared" si="10"/>
        <v>19992114.0085661</v>
      </c>
    </row>
    <row r="27" spans="2:17" ht="9.3000000000000007" thickBot="1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</row>
    <row r="28" spans="2:17">
      <c r="B28" s="144" t="s">
        <v>199</v>
      </c>
      <c r="C28" s="145"/>
      <c r="D28" s="145"/>
      <c r="E28" s="156"/>
      <c r="F28" s="157"/>
      <c r="G28" s="157"/>
      <c r="H28" s="157"/>
      <c r="I28" s="157"/>
      <c r="J28" s="157"/>
      <c r="K28" s="146"/>
      <c r="L28" s="119"/>
      <c r="M28" s="119"/>
      <c r="N28" s="119"/>
      <c r="O28" s="119"/>
      <c r="P28" s="142"/>
      <c r="Q28" s="142"/>
    </row>
    <row r="29" spans="2:17">
      <c r="B29" s="147" t="s">
        <v>89</v>
      </c>
      <c r="C29" s="142"/>
      <c r="D29" s="155">
        <f>Phase2</f>
        <v>2</v>
      </c>
      <c r="E29" s="140"/>
      <c r="F29" s="140"/>
      <c r="G29" s="141" t="s">
        <v>205</v>
      </c>
      <c r="H29" s="161">
        <f>Phase2begin</f>
        <v>3</v>
      </c>
      <c r="I29" s="140"/>
      <c r="J29" s="141" t="s">
        <v>202</v>
      </c>
      <c r="K29" s="158">
        <f>summary!AH14</f>
        <v>0</v>
      </c>
      <c r="P29" s="142"/>
      <c r="Q29" s="142"/>
    </row>
    <row r="30" spans="2:17">
      <c r="B30" s="147" t="s">
        <v>94</v>
      </c>
      <c r="C30" s="142"/>
      <c r="D30" s="152" t="s">
        <v>141</v>
      </c>
      <c r="E30" s="140"/>
      <c r="F30" s="140"/>
      <c r="G30" s="141" t="s">
        <v>206</v>
      </c>
      <c r="H30" s="161">
        <f>Phase2end</f>
        <v>4</v>
      </c>
      <c r="I30" s="140"/>
      <c r="J30" s="140"/>
      <c r="K30" s="148"/>
      <c r="P30" s="142"/>
      <c r="Q30" s="142"/>
    </row>
    <row r="31" spans="2:17" ht="9.3000000000000007" thickBot="1">
      <c r="B31" s="159"/>
      <c r="C31" s="160"/>
      <c r="D31" s="160"/>
      <c r="E31" s="160"/>
      <c r="F31" s="160"/>
      <c r="G31" s="150" t="s">
        <v>200</v>
      </c>
      <c r="H31" s="153">
        <f>Phase2open</f>
        <v>5</v>
      </c>
      <c r="I31" s="160"/>
      <c r="J31" s="160"/>
      <c r="K31" s="149"/>
      <c r="P31" s="142"/>
      <c r="Q31" s="142"/>
    </row>
    <row r="32" spans="2:17">
      <c r="C32" s="136"/>
      <c r="D32" s="120"/>
      <c r="P32" s="142"/>
      <c r="Q32" s="142"/>
    </row>
    <row r="33" spans="2:17">
      <c r="B33" s="121" t="s">
        <v>183</v>
      </c>
      <c r="C33" s="121"/>
      <c r="E33" s="122">
        <f>IF(OR(E$2=$H31,E$2&gt;$H31),INDEX(summary!$A$2:$D$24,MATCH($D30,summary!$A$2:$A$24,0),MATCH($D29,summary!$A$2:$D$2,0)),0)</f>
        <v>0</v>
      </c>
      <c r="F33" s="122">
        <f>IF(OR(F$2=$H31,F$2&gt;$H31),INDEX(summary!$A$2:$D$24,MATCH($D30,summary!$A$2:$A$24,0),MATCH($D29,summary!$A$2:$D$2,0)),0)</f>
        <v>0</v>
      </c>
      <c r="G33" s="122">
        <f>IF(OR(G$2=$H31,G$2&gt;$H31),INDEX(summary!$A$2:$D$24,MATCH($D30,summary!$A$2:$A$24,0),MATCH($D29,summary!$A$2:$D$2,0)),0)</f>
        <v>0</v>
      </c>
      <c r="H33" s="122">
        <f>IF(OR(H$2=$H31,H$2&gt;$H31),INDEX(summary!$A$2:$D$24,MATCH($D30,summary!$A$2:$A$24,0),MATCH($D29,summary!$A$2:$D$2,0)),0)</f>
        <v>0</v>
      </c>
      <c r="I33" s="122">
        <f>IF(OR(I$2=$H31,I$2&gt;$H31),INDEX(summary!$A$2:$D$24,MATCH($D30,summary!$A$2:$A$24,0),MATCH($D29,summary!$A$2:$D$2,0)),0)</f>
        <v>0</v>
      </c>
      <c r="J33" s="122">
        <f>IF(OR(J$2=$H31,J$2&gt;$H31),INDEX(summary!$A$2:$D$24,MATCH($D30,summary!$A$2:$A$24,0),MATCH($D29,summary!$A$2:$D$2,0)),0)</f>
        <v>27194.638499999994</v>
      </c>
      <c r="K33" s="122">
        <f>IF(OR(K$2=$H31,K$2&gt;$H31),INDEX(summary!$A$2:$D$24,MATCH($D30,summary!$A$2:$A$24,0),MATCH($D29,summary!$A$2:$D$2,0)),0)</f>
        <v>27194.638499999994</v>
      </c>
      <c r="L33" s="122">
        <f>IF(OR(L$2=$H31,L$2&gt;$H31),INDEX(summary!$A$2:$D$24,MATCH($D30,summary!$A$2:$A$24,0),MATCH($D29,summary!$A$2:$D$2,0)),0)</f>
        <v>27194.638499999994</v>
      </c>
      <c r="M33" s="122">
        <f>IF(OR(M$2=$H31,M$2&gt;$H31),INDEX(summary!$A$2:$D$24,MATCH($D30,summary!$A$2:$A$24,0),MATCH($D29,summary!$A$2:$D$2,0)),0)</f>
        <v>27194.638499999994</v>
      </c>
      <c r="N33" s="122">
        <f>IF(OR(N$2=$H31,N$2&gt;$H31),INDEX(summary!$A$2:$D$24,MATCH($D30,summary!$A$2:$A$24,0),MATCH($D29,summary!$A$2:$D$2,0)),0)</f>
        <v>27194.638499999994</v>
      </c>
      <c r="O33" s="122">
        <f>IF(OR(O$2=$H31,O$2&gt;$H31),INDEX(summary!$A$2:$D$24,MATCH($D30,summary!$A$2:$A$24,0),MATCH($D29,summary!$A$2:$D$2,0)),0)</f>
        <v>27194.638499999994</v>
      </c>
      <c r="P33" s="142"/>
      <c r="Q33" s="142"/>
    </row>
    <row r="34" spans="2:17">
      <c r="B34" s="121" t="s">
        <v>195</v>
      </c>
      <c r="C34" s="137" t="s">
        <v>192</v>
      </c>
      <c r="D34" s="123">
        <f>INDEX(cockpit!$J$6:$X$16,MATCH($D30,cockpit!$J$6:$J$16,0),MATCH($C$10,cockpit!$J$6:$X$6,0))</f>
        <v>0.05</v>
      </c>
      <c r="E34" s="122">
        <f>E33*(1-$D34)</f>
        <v>0</v>
      </c>
      <c r="F34" s="122">
        <f t="shared" ref="F34:O34" si="11">F33*(1-$D34)</f>
        <v>0</v>
      </c>
      <c r="G34" s="122">
        <f t="shared" si="11"/>
        <v>0</v>
      </c>
      <c r="H34" s="122">
        <f t="shared" si="11"/>
        <v>0</v>
      </c>
      <c r="I34" s="122">
        <f t="shared" si="11"/>
        <v>0</v>
      </c>
      <c r="J34" s="122">
        <f t="shared" si="11"/>
        <v>25834.906574999994</v>
      </c>
      <c r="K34" s="122">
        <f t="shared" si="11"/>
        <v>25834.906574999994</v>
      </c>
      <c r="L34" s="122">
        <f t="shared" si="11"/>
        <v>25834.906574999994</v>
      </c>
      <c r="M34" s="122">
        <f t="shared" si="11"/>
        <v>25834.906574999994</v>
      </c>
      <c r="N34" s="122">
        <f t="shared" si="11"/>
        <v>25834.906574999994</v>
      </c>
      <c r="O34" s="122">
        <f t="shared" si="11"/>
        <v>25834.906574999994</v>
      </c>
      <c r="P34" s="142"/>
      <c r="Q34" s="142"/>
    </row>
    <row r="35" spans="2:17">
      <c r="B35" s="121" t="s">
        <v>181</v>
      </c>
      <c r="C35" s="137" t="s">
        <v>153</v>
      </c>
      <c r="D35" s="138">
        <f>ResidentialAffordablerampup</f>
        <v>0.97</v>
      </c>
      <c r="E35" s="122">
        <f>IF(OR(E$2=$H31,AND(E$2&gt;$H31,E$2&lt;(SUM($H31,INDEX(cockpit!$J$6:$X$16,MATCH($D30,cockpit!$J$6:$J$16,0),MATCH($C$11,cockpit!$J$6:$X$6,0)))))),E34*$D35,0)</f>
        <v>0</v>
      </c>
      <c r="F35" s="122">
        <f>IF(OR(F$2=$H31,AND(F$2&gt;$H31,F$2&lt;(SUM($H31,INDEX(cockpit!$J$6:$X$16,MATCH($D30,cockpit!$J$6:$J$16,0),MATCH($C$11,cockpit!$J$6:$X$6,0)))))),F34*$D35,0)</f>
        <v>0</v>
      </c>
      <c r="G35" s="122">
        <f>IF(OR(G$2=$H31,AND(G$2&gt;$H31,G$2&lt;(SUM($H31,INDEX(cockpit!$J$6:$X$16,MATCH($D30,cockpit!$J$6:$J$16,0),MATCH($C$11,cockpit!$J$6:$X$6,0)))))),G34*$D35,0)</f>
        <v>0</v>
      </c>
      <c r="H35" s="122">
        <f>IF(OR(H$2=$H31,AND(H$2&gt;$H31,H$2&lt;(SUM($H31,INDEX(cockpit!$J$6:$X$16,MATCH($D30,cockpit!$J$6:$J$16,0),MATCH($C$11,cockpit!$J$6:$X$6,0)))))),H34*$D35,0)</f>
        <v>0</v>
      </c>
      <c r="I35" s="122">
        <f>IF(OR(I$2=$H31,AND(I$2&gt;$H31,I$2&lt;(SUM($H31,INDEX(cockpit!$J$6:$X$16,MATCH($D30,cockpit!$J$6:$J$16,0),MATCH($C$11,cockpit!$J$6:$X$6,0)))))),I34*$D35,0)</f>
        <v>0</v>
      </c>
      <c r="J35" s="122">
        <f>IF(OR(J$2=$H31,AND(J$2&gt;$H31,J$2&lt;(SUM($H31,INDEX(cockpit!$J$6:$X$16,MATCH($D30,cockpit!$J$6:$J$16,0),MATCH($C$11,cockpit!$J$6:$X$6,0)))))),J34*$D35,0)</f>
        <v>25059.859377749992</v>
      </c>
      <c r="K35" s="122">
        <f>IF(OR(K$2=$H31,AND(K$2&gt;$H31,K$2&lt;(SUM($H31,INDEX(cockpit!$J$6:$X$16,MATCH($D30,cockpit!$J$6:$J$16,0),MATCH($C$11,cockpit!$J$6:$X$6,0)))))),K34*$D35,0)</f>
        <v>0</v>
      </c>
      <c r="L35" s="122">
        <f>IF(OR(L$2=$H31,AND(L$2&gt;$H31,L$2&lt;(SUM($H31,INDEX(cockpit!$J$6:$X$16,MATCH($D30,cockpit!$J$6:$J$16,0),MATCH($C$11,cockpit!$J$6:$X$6,0)))))),L34*$D35,0)</f>
        <v>0</v>
      </c>
      <c r="M35" s="122">
        <f>IF(OR(M$2=$H31,AND(M$2&gt;$H31,M$2&lt;(SUM($H31,INDEX(cockpit!$J$6:$X$16,MATCH($D30,cockpit!$J$6:$J$16,0),MATCH($C$11,cockpit!$J$6:$X$6,0)))))),M34*$D35,0)</f>
        <v>0</v>
      </c>
      <c r="N35" s="122">
        <f>IF(OR(N$2=$H31,AND(N$2&gt;$H31,N$2&lt;(SUM($H31,INDEX(cockpit!$J$6:$X$16,MATCH($D30,cockpit!$J$6:$J$16,0),MATCH($C$11,cockpit!$J$6:$X$6,0)))))),N34*$D35,0)</f>
        <v>0</v>
      </c>
      <c r="O35" s="122">
        <f>IF(OR(O$2=$H31,AND(O$2&gt;$H31,O$2&lt;(SUM($H31,INDEX(cockpit!$J$6:$X$16,MATCH($D30,cockpit!$J$6:$J$16,0),MATCH($C$11,cockpit!$J$6:$X$6,0)))))),O34*$D35,0)</f>
        <v>0</v>
      </c>
      <c r="P35" s="142"/>
      <c r="Q35" s="142"/>
    </row>
    <row r="36" spans="2:17">
      <c r="B36" s="121" t="s">
        <v>182</v>
      </c>
      <c r="C36" s="139"/>
      <c r="E36" s="122">
        <f>SUM($E35:E35)</f>
        <v>0</v>
      </c>
      <c r="F36" s="122">
        <f>SUM($E35:F35)</f>
        <v>0</v>
      </c>
      <c r="G36" s="122">
        <f>SUM($E35:G35)</f>
        <v>0</v>
      </c>
      <c r="H36" s="122">
        <f>SUM($E35:H35)</f>
        <v>0</v>
      </c>
      <c r="I36" s="122">
        <f>SUM($E35:I35)</f>
        <v>0</v>
      </c>
      <c r="J36" s="122">
        <f>SUM($E35:J35)</f>
        <v>25059.859377749992</v>
      </c>
      <c r="K36" s="122">
        <f>SUM($E35:K35)</f>
        <v>25059.859377749992</v>
      </c>
      <c r="L36" s="122">
        <f>SUM($E35:L35)</f>
        <v>25059.859377749992</v>
      </c>
      <c r="M36" s="122">
        <f>SUM($E35:M35)</f>
        <v>25059.859377749992</v>
      </c>
      <c r="N36" s="122">
        <f>SUM($E35:N35)</f>
        <v>25059.859377749992</v>
      </c>
      <c r="O36" s="122">
        <f>SUM($E35:O35)</f>
        <v>25059.859377749992</v>
      </c>
      <c r="P36" s="142"/>
      <c r="Q36" s="142"/>
    </row>
    <row r="37" spans="2:17">
      <c r="C37" s="139"/>
      <c r="P37" s="142"/>
      <c r="Q37" s="142"/>
    </row>
    <row r="38" spans="2:17">
      <c r="B38" s="121" t="s">
        <v>167</v>
      </c>
      <c r="C38" s="139"/>
      <c r="D38" s="124">
        <f>(ResidentialAffordablePSFrate*(1-$K29))+((ResidentialAffordablePSFrate*(1+premiumprices)*$K29))</f>
        <v>1.2738095238095237</v>
      </c>
      <c r="E38" s="125">
        <f t="shared" ref="E38:O38" si="12">E36*($D38*((1+Inflation)^(E$2-1)))*12</f>
        <v>0</v>
      </c>
      <c r="F38" s="125">
        <f t="shared" si="12"/>
        <v>0</v>
      </c>
      <c r="G38" s="125">
        <f t="shared" si="12"/>
        <v>0</v>
      </c>
      <c r="H38" s="125">
        <f t="shared" si="12"/>
        <v>0</v>
      </c>
      <c r="I38" s="125">
        <f t="shared" si="12"/>
        <v>0</v>
      </c>
      <c r="J38" s="125">
        <f t="shared" si="12"/>
        <v>414634.13650918531</v>
      </c>
      <c r="K38" s="125">
        <f t="shared" si="12"/>
        <v>422926.81923936901</v>
      </c>
      <c r="L38" s="125">
        <f t="shared" si="12"/>
        <v>431385.35562415636</v>
      </c>
      <c r="M38" s="125">
        <f t="shared" si="12"/>
        <v>440013.0627366394</v>
      </c>
      <c r="N38" s="125">
        <f t="shared" si="12"/>
        <v>448813.32399137219</v>
      </c>
      <c r="O38" s="125">
        <f t="shared" si="12"/>
        <v>457789.59047119971</v>
      </c>
      <c r="P38" s="142"/>
      <c r="Q38" s="142"/>
    </row>
    <row r="39" spans="2:17">
      <c r="B39" s="121" t="s">
        <v>124</v>
      </c>
      <c r="C39" s="139"/>
      <c r="D39" s="124">
        <f>INDEX(cockpit!$J$6:$X$16,MATCH($D30,cockpit!$J$6:$J$16,0),MATCH($B39,cockpit!$J$6:$X$6,0))</f>
        <v>5</v>
      </c>
      <c r="E39" s="126">
        <f t="shared" ref="E39:O39" si="13">-IF($D39&gt;1,E33*($D39*((1+Inflation)^(E$2-1))),E38*(1-$D39))</f>
        <v>0</v>
      </c>
      <c r="F39" s="126">
        <f t="shared" si="13"/>
        <v>0</v>
      </c>
      <c r="G39" s="126">
        <f t="shared" si="13"/>
        <v>0</v>
      </c>
      <c r="H39" s="126">
        <f t="shared" si="13"/>
        <v>0</v>
      </c>
      <c r="I39" s="126">
        <f t="shared" si="13"/>
        <v>0</v>
      </c>
      <c r="J39" s="126">
        <f t="shared" si="13"/>
        <v>-147181.75645987075</v>
      </c>
      <c r="K39" s="126">
        <f t="shared" si="13"/>
        <v>-150125.3915890682</v>
      </c>
      <c r="L39" s="126">
        <f t="shared" si="13"/>
        <v>-153127.89942084957</v>
      </c>
      <c r="M39" s="126">
        <f t="shared" si="13"/>
        <v>-156190.45740926653</v>
      </c>
      <c r="N39" s="126">
        <f t="shared" si="13"/>
        <v>-159314.26655745186</v>
      </c>
      <c r="O39" s="126">
        <f t="shared" si="13"/>
        <v>-162500.55188860089</v>
      </c>
      <c r="P39" s="142"/>
      <c r="Q39" s="142"/>
    </row>
    <row r="40" spans="2:17">
      <c r="B40" s="127" t="s">
        <v>168</v>
      </c>
      <c r="C40" s="139"/>
      <c r="E40" s="125">
        <f>SUM(E38:E39)</f>
        <v>0</v>
      </c>
      <c r="F40" s="125">
        <f t="shared" ref="F40:O40" si="14">SUM(F38:F39)</f>
        <v>0</v>
      </c>
      <c r="G40" s="125">
        <f t="shared" si="14"/>
        <v>0</v>
      </c>
      <c r="H40" s="125">
        <f t="shared" si="14"/>
        <v>0</v>
      </c>
      <c r="I40" s="125">
        <f t="shared" si="14"/>
        <v>0</v>
      </c>
      <c r="J40" s="125">
        <f t="shared" si="14"/>
        <v>267452.38004931458</v>
      </c>
      <c r="K40" s="125">
        <f t="shared" si="14"/>
        <v>272801.42765030079</v>
      </c>
      <c r="L40" s="125">
        <f t="shared" si="14"/>
        <v>278257.45620330679</v>
      </c>
      <c r="M40" s="125">
        <f t="shared" si="14"/>
        <v>283822.6053273729</v>
      </c>
      <c r="N40" s="125">
        <f t="shared" si="14"/>
        <v>289499.05743392033</v>
      </c>
      <c r="O40" s="125">
        <f t="shared" si="14"/>
        <v>295289.03858259879</v>
      </c>
      <c r="P40" s="142"/>
      <c r="Q40" s="142"/>
    </row>
    <row r="41" spans="2:17">
      <c r="C41" s="139"/>
      <c r="E41" s="217">
        <f t="shared" ref="E41:O41" si="15">IFERROR(E40/E38,0)</f>
        <v>0</v>
      </c>
      <c r="F41" s="217">
        <f t="shared" si="15"/>
        <v>0</v>
      </c>
      <c r="G41" s="217">
        <f t="shared" si="15"/>
        <v>0</v>
      </c>
      <c r="H41" s="217">
        <f t="shared" si="15"/>
        <v>0</v>
      </c>
      <c r="I41" s="217">
        <f t="shared" si="15"/>
        <v>0</v>
      </c>
      <c r="J41" s="217">
        <f t="shared" si="15"/>
        <v>0.64503222600291077</v>
      </c>
      <c r="K41" s="217">
        <f t="shared" si="15"/>
        <v>0.64503222600291055</v>
      </c>
      <c r="L41" s="217">
        <f t="shared" si="15"/>
        <v>0.64503222600291066</v>
      </c>
      <c r="M41" s="217">
        <f t="shared" si="15"/>
        <v>0.64503222600291066</v>
      </c>
      <c r="N41" s="217">
        <f t="shared" si="15"/>
        <v>0.64503222600291066</v>
      </c>
      <c r="O41" s="217">
        <f t="shared" si="15"/>
        <v>0.64503222600291066</v>
      </c>
      <c r="P41" s="142"/>
      <c r="Q41" s="142"/>
    </row>
    <row r="42" spans="2:17">
      <c r="B42" s="121" t="s">
        <v>169</v>
      </c>
      <c r="C42" s="139"/>
      <c r="D42" s="128">
        <f>INDEX(cockpit!$J$6:$X$16,MATCH($D30,cockpit!$J$6:$J$16,0),MATCH($B42,cockpit!$J$6:$X$6,0))</f>
        <v>0.05</v>
      </c>
      <c r="E42" s="125">
        <f>-E34*$D42</f>
        <v>0</v>
      </c>
      <c r="F42" s="125">
        <f t="shared" ref="F42:O42" si="16">-F34*$D42</f>
        <v>0</v>
      </c>
      <c r="G42" s="125">
        <f t="shared" si="16"/>
        <v>0</v>
      </c>
      <c r="H42" s="125">
        <f t="shared" si="16"/>
        <v>0</v>
      </c>
      <c r="I42" s="125">
        <f t="shared" si="16"/>
        <v>0</v>
      </c>
      <c r="J42" s="125">
        <f t="shared" si="16"/>
        <v>-1291.7453287499998</v>
      </c>
      <c r="K42" s="125">
        <f t="shared" si="16"/>
        <v>-1291.7453287499998</v>
      </c>
      <c r="L42" s="125">
        <f t="shared" si="16"/>
        <v>-1291.7453287499998</v>
      </c>
      <c r="M42" s="125">
        <f t="shared" si="16"/>
        <v>-1291.7453287499998</v>
      </c>
      <c r="N42" s="125">
        <f t="shared" si="16"/>
        <v>-1291.7453287499998</v>
      </c>
      <c r="O42" s="125">
        <f t="shared" si="16"/>
        <v>-1291.7453287499998</v>
      </c>
      <c r="P42" s="142"/>
      <c r="Q42" s="142"/>
    </row>
    <row r="43" spans="2:17">
      <c r="B43" s="121" t="s">
        <v>163</v>
      </c>
      <c r="C43" s="139"/>
      <c r="D43" s="128">
        <f>INDEX(cockpit!$J$6:$X$16,MATCH($D30,cockpit!$J$6:$J$16,0),MATCH($B43,cockpit!$J$6:$X$6,0))</f>
        <v>0</v>
      </c>
      <c r="E43" s="126">
        <f>-E36*$D43</f>
        <v>0</v>
      </c>
      <c r="F43" s="126">
        <f t="shared" ref="F43:O43" si="17">-F36*$D43</f>
        <v>0</v>
      </c>
      <c r="G43" s="126">
        <f t="shared" si="17"/>
        <v>0</v>
      </c>
      <c r="H43" s="126">
        <f t="shared" si="17"/>
        <v>0</v>
      </c>
      <c r="I43" s="126">
        <f t="shared" si="17"/>
        <v>0</v>
      </c>
      <c r="J43" s="126">
        <f t="shared" si="17"/>
        <v>0</v>
      </c>
      <c r="K43" s="126">
        <f t="shared" si="17"/>
        <v>0</v>
      </c>
      <c r="L43" s="126">
        <f t="shared" si="17"/>
        <v>0</v>
      </c>
      <c r="M43" s="126">
        <f t="shared" si="17"/>
        <v>0</v>
      </c>
      <c r="N43" s="126">
        <f t="shared" si="17"/>
        <v>0</v>
      </c>
      <c r="O43" s="126">
        <f t="shared" si="17"/>
        <v>0</v>
      </c>
      <c r="P43" s="142"/>
      <c r="Q43" s="142"/>
    </row>
    <row r="44" spans="2:17">
      <c r="B44" s="127" t="s">
        <v>196</v>
      </c>
      <c r="C44" s="139"/>
      <c r="D44" s="128"/>
      <c r="E44" s="129">
        <f>SUM(E42:E43)</f>
        <v>0</v>
      </c>
      <c r="F44" s="129">
        <f t="shared" ref="F44:O44" si="18">SUM(F42:F43)</f>
        <v>0</v>
      </c>
      <c r="G44" s="129">
        <f t="shared" si="18"/>
        <v>0</v>
      </c>
      <c r="H44" s="129">
        <f t="shared" si="18"/>
        <v>0</v>
      </c>
      <c r="I44" s="129">
        <f t="shared" si="18"/>
        <v>0</v>
      </c>
      <c r="J44" s="129">
        <f t="shared" si="18"/>
        <v>-1291.7453287499998</v>
      </c>
      <c r="K44" s="129">
        <f t="shared" si="18"/>
        <v>-1291.7453287499998</v>
      </c>
      <c r="L44" s="129">
        <f t="shared" si="18"/>
        <v>-1291.7453287499998</v>
      </c>
      <c r="M44" s="129">
        <f t="shared" si="18"/>
        <v>-1291.7453287499998</v>
      </c>
      <c r="N44" s="129">
        <f t="shared" si="18"/>
        <v>-1291.7453287499998</v>
      </c>
      <c r="O44" s="129">
        <f t="shared" si="18"/>
        <v>-1291.7453287499998</v>
      </c>
      <c r="P44" s="142"/>
      <c r="Q44" s="142"/>
    </row>
    <row r="45" spans="2:17">
      <c r="B45" s="121"/>
      <c r="C45" s="139"/>
      <c r="P45" s="142"/>
      <c r="Q45" s="142"/>
    </row>
    <row r="46" spans="2:17">
      <c r="B46" s="121" t="s">
        <v>171</v>
      </c>
      <c r="C46" s="139"/>
      <c r="D46" s="124">
        <f>(ResidentialaffordablecostPSF*(1-$K29))+((ResidentialaffordablecostPSF*(1+premiumprices)*$K29))</f>
        <v>115</v>
      </c>
      <c r="E46" s="125">
        <f>-IF(OR(E$2=$H29,E$2=$H30,AND(E$2&gt;$H29,E$2&lt;$H30)),(INDEX(summary!$A$2:$D$24,MATCH($D30,summary!$A$2:$A$24,0),MATCH($D29,summary!$A$2:$D$2,0)))/Constructiontime)*($D46*((1+Inflation)^(E$2-1)))*(1+Developerfee)</f>
        <v>0</v>
      </c>
      <c r="F46" s="125">
        <f>-IF(OR(F$2=$H29,F$2=$H30,AND(F$2&gt;$H29,F$2&lt;$H30)),(INDEX(summary!$A$2:$D$24,MATCH($D30,summary!$A$2:$A$24,0),MATCH($D29,summary!$A$2:$D$2,0)))/Constructiontime)*($D46*((1+Inflation)^(F$2-1)))*(1+Developerfee)</f>
        <v>0</v>
      </c>
      <c r="G46" s="125">
        <f>-IF(OR(G$2=$H29,G$2=$H30,AND(G$2&gt;$H29,G$2&lt;$H30)),(INDEX(summary!$A$2:$D$24,MATCH($D30,summary!$A$2:$A$24,0),MATCH($D29,summary!$A$2:$D$2,0)))/Constructiontime)*($D46*((1+Inflation)^(G$2-1)))*(1+Developerfee)</f>
        <v>0</v>
      </c>
      <c r="H46" s="125">
        <f>-IF(OR(H$2=$H29,H$2=$H30,AND(H$2&gt;$H29,H$2&lt;$H30)),(INDEX(summary!$A$2:$D$24,MATCH($D30,summary!$A$2:$A$24,0),MATCH($D29,summary!$A$2:$D$2,0)))/Constructiontime)*($D46*((1+Inflation)^(H$2-1)))*(1+Developerfee)</f>
        <v>-1870894.5878333244</v>
      </c>
      <c r="I46" s="125">
        <f>-IF(OR(I$2=$H29,I$2=$H30,AND(I$2&gt;$H29,I$2&lt;$H30)),(INDEX(summary!$A$2:$D$24,MATCH($D30,summary!$A$2:$A$24,0),MATCH($D29,summary!$A$2:$D$2,0)))/Constructiontime)*($D46*((1+Inflation)^(I$2-1)))*(1+Developerfee)</f>
        <v>-1908312.4795899906</v>
      </c>
      <c r="J46" s="125">
        <f>-IF(OR(J$2=$H29,J$2=$H30,AND(J$2&gt;$H29,J$2&lt;$H30)),(INDEX(summary!$A$2:$D$24,MATCH($D30,summary!$A$2:$A$24,0),MATCH($D29,summary!$A$2:$D$2,0)))/Constructiontime)*($D46*((1+Inflation)^(J$2-1)))*(1+Developerfee)</f>
        <v>0</v>
      </c>
      <c r="K46" s="125">
        <f>-IF(OR(K$2=$H29,K$2=$H30,AND(K$2&gt;$H29,K$2&lt;$H30)),(INDEX(summary!$A$2:$D$24,MATCH($D30,summary!$A$2:$A$24,0),MATCH($D29,summary!$A$2:$D$2,0)))/Constructiontime)*($D46*((1+Inflation)^(K$2-1)))*(1+Developerfee)</f>
        <v>0</v>
      </c>
      <c r="L46" s="125">
        <f>-IF(OR(L$2=$H29,L$2=$H30,AND(L$2&gt;$H29,L$2&lt;$H30)),(INDEX(summary!$A$2:$D$24,MATCH($D30,summary!$A$2:$A$24,0),MATCH($D29,summary!$A$2:$D$2,0)))/Constructiontime)*($D46*((1+Inflation)^(L$2-1)))*(1+Developerfee)</f>
        <v>0</v>
      </c>
      <c r="M46" s="125">
        <f>-IF(OR(M$2=$H29,M$2=$H30,AND(M$2&gt;$H29,M$2&lt;$H30)),(INDEX(summary!$A$2:$D$24,MATCH($D30,summary!$A$2:$A$24,0),MATCH($D29,summary!$A$2:$D$2,0)))/Constructiontime)*($D46*((1+Inflation)^(M$2-1)))*(1+Developerfee)</f>
        <v>0</v>
      </c>
      <c r="N46" s="125">
        <f>-IF(OR(N$2=$H29,N$2=$H30,AND(N$2&gt;$H29,N$2&lt;$H30)),(INDEX(summary!$A$2:$D$24,MATCH($D30,summary!$A$2:$A$24,0),MATCH($D29,summary!$A$2:$D$2,0)))/Constructiontime)*($D46*((1+Inflation)^(N$2-1)))*(1+Developerfee)</f>
        <v>0</v>
      </c>
      <c r="O46" s="125">
        <f>-IF(OR(O$2=$H29,O$2=$H30,AND(O$2&gt;$H29,O$2&lt;$H30)),(INDEX(summary!$A$2:$D$24,MATCH($D30,summary!$A$2:$A$24,0),MATCH($D29,summary!$A$2:$D$2,0)))/Constructiontime)*($D46*((1+Inflation)^(O$2-1)))*(1+Developerfee)</f>
        <v>0</v>
      </c>
      <c r="P46" s="142"/>
      <c r="Q46" s="142"/>
    </row>
    <row r="47" spans="2:17">
      <c r="B47" s="121" t="s">
        <v>198</v>
      </c>
      <c r="C47" s="139" t="s">
        <v>190</v>
      </c>
      <c r="D47" s="138">
        <f>(INDEX(cockpit!$J$6:$X$16,MATCH($D30,cockpit!$J$6:$J$16,0),MATCH($C47,cockpit!$J$6:$X$6,0))*(1-$K29))+((INDEX(cockpit!$J$6:$X$16,MATCH($D30,cockpit!$J$6:$J$16,0),MATCH($C47,cockpit!$J$6:$X$6,0))-(Premiumexitcaprate))*$K29)</f>
        <v>6.5000000000000002E-2</v>
      </c>
      <c r="E47" s="126">
        <f t="shared" ref="E47:O47" si="19">IF(E$2=dispositionyear,E40/$D47,0)*(1-Closingcosts)</f>
        <v>0</v>
      </c>
      <c r="F47" s="126">
        <f t="shared" si="19"/>
        <v>0</v>
      </c>
      <c r="G47" s="126">
        <f t="shared" si="19"/>
        <v>0</v>
      </c>
      <c r="H47" s="126">
        <f t="shared" si="19"/>
        <v>0</v>
      </c>
      <c r="I47" s="126">
        <f t="shared" si="19"/>
        <v>0</v>
      </c>
      <c r="J47" s="126">
        <f t="shared" si="19"/>
        <v>0</v>
      </c>
      <c r="K47" s="126">
        <f t="shared" si="19"/>
        <v>0</v>
      </c>
      <c r="L47" s="126">
        <f t="shared" si="19"/>
        <v>0</v>
      </c>
      <c r="M47" s="126">
        <f t="shared" si="19"/>
        <v>0</v>
      </c>
      <c r="N47" s="126">
        <f t="shared" si="19"/>
        <v>0</v>
      </c>
      <c r="O47" s="126">
        <f t="shared" si="19"/>
        <v>4429335.5787389819</v>
      </c>
      <c r="P47" s="142"/>
      <c r="Q47" s="142"/>
    </row>
    <row r="48" spans="2:17">
      <c r="B48" s="127" t="s">
        <v>197</v>
      </c>
      <c r="C48" s="139"/>
      <c r="D48" s="123"/>
      <c r="E48" s="129">
        <f>SUM(E46:E47)</f>
        <v>0</v>
      </c>
      <c r="F48" s="129">
        <f t="shared" ref="F48:O48" si="20">SUM(F46:F47)</f>
        <v>0</v>
      </c>
      <c r="G48" s="129">
        <f t="shared" si="20"/>
        <v>0</v>
      </c>
      <c r="H48" s="129">
        <f t="shared" si="20"/>
        <v>-1870894.5878333244</v>
      </c>
      <c r="I48" s="129">
        <f t="shared" si="20"/>
        <v>-1908312.4795899906</v>
      </c>
      <c r="J48" s="129">
        <f t="shared" si="20"/>
        <v>0</v>
      </c>
      <c r="K48" s="129">
        <f t="shared" si="20"/>
        <v>0</v>
      </c>
      <c r="L48" s="129">
        <f t="shared" si="20"/>
        <v>0</v>
      </c>
      <c r="M48" s="129">
        <f t="shared" si="20"/>
        <v>0</v>
      </c>
      <c r="N48" s="129">
        <f t="shared" si="20"/>
        <v>0</v>
      </c>
      <c r="O48" s="129">
        <f t="shared" si="20"/>
        <v>4429335.5787389819</v>
      </c>
      <c r="P48" s="142"/>
      <c r="Q48" s="142"/>
    </row>
    <row r="49" spans="2:17">
      <c r="B49" s="121"/>
      <c r="C49" s="139"/>
      <c r="D49" s="123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42"/>
      <c r="Q49" s="142"/>
    </row>
    <row r="50" spans="2:17">
      <c r="B50" s="127" t="s">
        <v>170</v>
      </c>
      <c r="C50" s="127"/>
      <c r="D50" s="130">
        <f ca="1">IRR(OFFSET(E50,0,0,1,Investmenthorizon+1))</f>
        <v>8.7191392820132441E-2</v>
      </c>
      <c r="E50" s="131">
        <f>SUM(E40,E44,E48)</f>
        <v>0</v>
      </c>
      <c r="F50" s="131">
        <f t="shared" ref="F50:O50" si="21">SUM(F40,F44,F48)</f>
        <v>0</v>
      </c>
      <c r="G50" s="131">
        <f t="shared" si="21"/>
        <v>0</v>
      </c>
      <c r="H50" s="131">
        <f t="shared" si="21"/>
        <v>-1870894.5878333244</v>
      </c>
      <c r="I50" s="131">
        <f t="shared" si="21"/>
        <v>-1908312.4795899906</v>
      </c>
      <c r="J50" s="131">
        <f t="shared" si="21"/>
        <v>266160.63472056459</v>
      </c>
      <c r="K50" s="131">
        <f t="shared" si="21"/>
        <v>271509.68232155079</v>
      </c>
      <c r="L50" s="131">
        <f t="shared" si="21"/>
        <v>276965.7108745568</v>
      </c>
      <c r="M50" s="131">
        <f t="shared" si="21"/>
        <v>282530.85999862291</v>
      </c>
      <c r="N50" s="131">
        <f t="shared" si="21"/>
        <v>288207.31210517033</v>
      </c>
      <c r="O50" s="131">
        <f t="shared" si="21"/>
        <v>4723332.8719928302</v>
      </c>
      <c r="P50" s="142"/>
      <c r="Q50" s="142"/>
    </row>
    <row r="51" spans="2:17" ht="9.3000000000000007" thickBot="1">
      <c r="B51" s="142"/>
      <c r="C51" s="143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</row>
    <row r="52" spans="2:17">
      <c r="B52" s="144" t="s">
        <v>199</v>
      </c>
      <c r="C52" s="145"/>
      <c r="D52" s="145"/>
      <c r="E52" s="156"/>
      <c r="F52" s="157"/>
      <c r="G52" s="157"/>
      <c r="H52" s="157"/>
      <c r="I52" s="157"/>
      <c r="J52" s="157"/>
      <c r="K52" s="146"/>
      <c r="L52" s="119"/>
      <c r="M52" s="119"/>
      <c r="N52" s="119"/>
      <c r="O52" s="119"/>
      <c r="P52" s="142"/>
      <c r="Q52" s="142"/>
    </row>
    <row r="53" spans="2:17">
      <c r="B53" s="147" t="s">
        <v>89</v>
      </c>
      <c r="C53" s="142"/>
      <c r="D53" s="155">
        <f>Phase3</f>
        <v>3</v>
      </c>
      <c r="E53" s="140"/>
      <c r="F53" s="140"/>
      <c r="G53" s="141" t="s">
        <v>205</v>
      </c>
      <c r="H53" s="161">
        <f>Phase3begin</f>
        <v>5</v>
      </c>
      <c r="I53" s="140"/>
      <c r="J53" s="141" t="s">
        <v>202</v>
      </c>
      <c r="K53" s="158">
        <f>summary!AJ14</f>
        <v>0</v>
      </c>
    </row>
    <row r="54" spans="2:17">
      <c r="B54" s="147" t="s">
        <v>94</v>
      </c>
      <c r="C54" s="142"/>
      <c r="D54" s="152" t="s">
        <v>141</v>
      </c>
      <c r="E54" s="140"/>
      <c r="F54" s="140"/>
      <c r="G54" s="141" t="s">
        <v>206</v>
      </c>
      <c r="H54" s="161">
        <f>Phase3end</f>
        <v>6</v>
      </c>
      <c r="I54" s="140"/>
      <c r="J54" s="140"/>
      <c r="K54" s="148"/>
    </row>
    <row r="55" spans="2:17" ht="9.3000000000000007" thickBot="1">
      <c r="B55" s="159"/>
      <c r="C55" s="160"/>
      <c r="D55" s="160"/>
      <c r="E55" s="160"/>
      <c r="F55" s="160"/>
      <c r="G55" s="150" t="s">
        <v>200</v>
      </c>
      <c r="H55" s="153">
        <f>Phase3open</f>
        <v>7</v>
      </c>
      <c r="I55" s="160"/>
      <c r="J55" s="160"/>
      <c r="K55" s="149"/>
    </row>
    <row r="56" spans="2:17">
      <c r="C56" s="136"/>
      <c r="D56" s="120"/>
    </row>
    <row r="57" spans="2:17">
      <c r="B57" s="121" t="s">
        <v>183</v>
      </c>
      <c r="C57" s="121"/>
      <c r="E57" s="122">
        <f>IF(OR(E$2=$H55,E$2&gt;$H55),INDEX(summary!$A$2:$D$24,MATCH($D54,summary!$A$2:$A$24,0),MATCH($D53,summary!$A$2:$D$2,0)),0)</f>
        <v>0</v>
      </c>
      <c r="F57" s="122">
        <f>IF(OR(F$2=$H55,F$2&gt;$H55),INDEX(summary!$A$2:$D$24,MATCH($D54,summary!$A$2:$A$24,0),MATCH($D53,summary!$A$2:$D$2,0)),0)</f>
        <v>0</v>
      </c>
      <c r="G57" s="122">
        <f>IF(OR(G$2=$H55,G$2&gt;$H55),INDEX(summary!$A$2:$D$24,MATCH($D54,summary!$A$2:$A$24,0),MATCH($D53,summary!$A$2:$D$2,0)),0)</f>
        <v>0</v>
      </c>
      <c r="H57" s="122">
        <f>IF(OR(H$2=$H55,H$2&gt;$H55),INDEX(summary!$A$2:$D$24,MATCH($D54,summary!$A$2:$A$24,0),MATCH($D53,summary!$A$2:$D$2,0)),0)</f>
        <v>0</v>
      </c>
      <c r="I57" s="122">
        <f>IF(OR(I$2=$H55,I$2&gt;$H55),INDEX(summary!$A$2:$D$24,MATCH($D54,summary!$A$2:$A$24,0),MATCH($D53,summary!$A$2:$D$2,0)),0)</f>
        <v>0</v>
      </c>
      <c r="J57" s="122">
        <f>IF(OR(J$2=$H55,J$2&gt;$H55),INDEX(summary!$A$2:$D$24,MATCH($D54,summary!$A$2:$A$24,0),MATCH($D53,summary!$A$2:$D$2,0)),0)</f>
        <v>0</v>
      </c>
      <c r="K57" s="122">
        <f>IF(OR(K$2=$H55,K$2&gt;$H55),INDEX(summary!$A$2:$D$24,MATCH($D54,summary!$A$2:$A$24,0),MATCH($D53,summary!$A$2:$D$2,0)),0)</f>
        <v>0</v>
      </c>
      <c r="L57" s="122">
        <f>IF(OR(L$2=$H55,L$2&gt;$H55),INDEX(summary!$A$2:$D$24,MATCH($D54,summary!$A$2:$A$24,0),MATCH($D53,summary!$A$2:$D$2,0)),0)</f>
        <v>96095.116744999992</v>
      </c>
      <c r="M57" s="122">
        <f>IF(OR(M$2=$H55,M$2&gt;$H55),INDEX(summary!$A$2:$D$24,MATCH($D54,summary!$A$2:$A$24,0),MATCH($D53,summary!$A$2:$D$2,0)),0)</f>
        <v>96095.116744999992</v>
      </c>
      <c r="N57" s="122">
        <f>IF(OR(N$2=$H55,N$2&gt;$H55),INDEX(summary!$A$2:$D$24,MATCH($D54,summary!$A$2:$A$24,0),MATCH($D53,summary!$A$2:$D$2,0)),0)</f>
        <v>96095.116744999992</v>
      </c>
      <c r="O57" s="122">
        <f>IF(OR(O$2=$H55,O$2&gt;$H55),INDEX(summary!$A$2:$D$24,MATCH($D54,summary!$A$2:$A$24,0),MATCH($D53,summary!$A$2:$D$2,0)),0)</f>
        <v>96095.116744999992</v>
      </c>
    </row>
    <row r="58" spans="2:17">
      <c r="B58" s="121" t="s">
        <v>195</v>
      </c>
      <c r="C58" s="137" t="s">
        <v>192</v>
      </c>
      <c r="D58" s="123">
        <f>INDEX(cockpit!$J$6:$X$16,MATCH($D54,cockpit!$J$6:$J$16,0),MATCH($C$10,cockpit!$J$6:$X$6,0))</f>
        <v>0.05</v>
      </c>
      <c r="E58" s="122">
        <f>E57*(1-$D58)</f>
        <v>0</v>
      </c>
      <c r="F58" s="122">
        <f t="shared" ref="F58:O58" si="22">F57*(1-$D58)</f>
        <v>0</v>
      </c>
      <c r="G58" s="122">
        <f t="shared" si="22"/>
        <v>0</v>
      </c>
      <c r="H58" s="122">
        <f t="shared" si="22"/>
        <v>0</v>
      </c>
      <c r="I58" s="122">
        <f t="shared" si="22"/>
        <v>0</v>
      </c>
      <c r="J58" s="122">
        <f t="shared" si="22"/>
        <v>0</v>
      </c>
      <c r="K58" s="122">
        <f t="shared" si="22"/>
        <v>0</v>
      </c>
      <c r="L58" s="122">
        <f t="shared" si="22"/>
        <v>91290.360907749986</v>
      </c>
      <c r="M58" s="122">
        <f t="shared" si="22"/>
        <v>91290.360907749986</v>
      </c>
      <c r="N58" s="122">
        <f t="shared" si="22"/>
        <v>91290.360907749986</v>
      </c>
      <c r="O58" s="122">
        <f t="shared" si="22"/>
        <v>91290.360907749986</v>
      </c>
    </row>
    <row r="59" spans="2:17">
      <c r="B59" s="121" t="s">
        <v>181</v>
      </c>
      <c r="C59" s="137" t="s">
        <v>153</v>
      </c>
      <c r="D59" s="138">
        <f>ResidentialAffordablerampup</f>
        <v>0.97</v>
      </c>
      <c r="E59" s="122">
        <f>IF(OR(E$2=$H55,AND(E$2&gt;$H55,E$2&lt;(SUM($H55,INDEX(cockpit!$J$6:$X$16,MATCH($D54,cockpit!$J$6:$J$16,0),MATCH($C$11,cockpit!$J$6:$X$6,0)))))),E58*$D59,0)</f>
        <v>0</v>
      </c>
      <c r="F59" s="122">
        <f>IF(OR(F$2=$H55,AND(F$2&gt;$H55,F$2&lt;(SUM($H55,INDEX(cockpit!$J$6:$X$16,MATCH($D54,cockpit!$J$6:$J$16,0),MATCH($C$11,cockpit!$J$6:$X$6,0)))))),F58*$D59,0)</f>
        <v>0</v>
      </c>
      <c r="G59" s="122">
        <f>IF(OR(G$2=$H55,AND(G$2&gt;$H55,G$2&lt;(SUM($H55,INDEX(cockpit!$J$6:$X$16,MATCH($D54,cockpit!$J$6:$J$16,0),MATCH($C$11,cockpit!$J$6:$X$6,0)))))),G58*$D59,0)</f>
        <v>0</v>
      </c>
      <c r="H59" s="122">
        <f>IF(OR(H$2=$H55,AND(H$2&gt;$H55,H$2&lt;(SUM($H55,INDEX(cockpit!$J$6:$X$16,MATCH($D54,cockpit!$J$6:$J$16,0),MATCH($C$11,cockpit!$J$6:$X$6,0)))))),H58*$D59,0)</f>
        <v>0</v>
      </c>
      <c r="I59" s="122">
        <f>IF(OR(I$2=$H55,AND(I$2&gt;$H55,I$2&lt;(SUM($H55,INDEX(cockpit!$J$6:$X$16,MATCH($D54,cockpit!$J$6:$J$16,0),MATCH($C$11,cockpit!$J$6:$X$6,0)))))),I58*$D59,0)</f>
        <v>0</v>
      </c>
      <c r="J59" s="122">
        <f>IF(OR(J$2=$H55,AND(J$2&gt;$H55,J$2&lt;(SUM($H55,INDEX(cockpit!$J$6:$X$16,MATCH($D54,cockpit!$J$6:$J$16,0),MATCH($C$11,cockpit!$J$6:$X$6,0)))))),J58*$D59,0)</f>
        <v>0</v>
      </c>
      <c r="K59" s="122">
        <f>IF(OR(K$2=$H55,AND(K$2&gt;$H55,K$2&lt;(SUM($H55,INDEX(cockpit!$J$6:$X$16,MATCH($D54,cockpit!$J$6:$J$16,0),MATCH($C$11,cockpit!$J$6:$X$6,0)))))),K58*$D59,0)</f>
        <v>0</v>
      </c>
      <c r="L59" s="122">
        <f>IF(OR(L$2=$H55,AND(L$2&gt;$H55,L$2&lt;(SUM($H55,INDEX(cockpit!$J$6:$X$16,MATCH($D54,cockpit!$J$6:$J$16,0),MATCH($C$11,cockpit!$J$6:$X$6,0)))))),L58*$D59,0)</f>
        <v>88551.650080517487</v>
      </c>
      <c r="M59" s="122">
        <f>IF(OR(M$2=$H55,AND(M$2&gt;$H55,M$2&lt;(SUM($H55,INDEX(cockpit!$J$6:$X$16,MATCH($D54,cockpit!$J$6:$J$16,0),MATCH($C$11,cockpit!$J$6:$X$6,0)))))),M58*$D59,0)</f>
        <v>0</v>
      </c>
      <c r="N59" s="122">
        <f>IF(OR(N$2=$H55,AND(N$2&gt;$H55,N$2&lt;(SUM($H55,INDEX(cockpit!$J$6:$X$16,MATCH($D54,cockpit!$J$6:$J$16,0),MATCH($C$11,cockpit!$J$6:$X$6,0)))))),N58*$D59,0)</f>
        <v>0</v>
      </c>
      <c r="O59" s="122">
        <f>IF(OR(O$2=$H55,AND(O$2&gt;$H55,O$2&lt;(SUM($H55,INDEX(cockpit!$J$6:$X$16,MATCH($D54,cockpit!$J$6:$J$16,0),MATCH($C$11,cockpit!$J$6:$X$6,0)))))),O58*$D59,0)</f>
        <v>0</v>
      </c>
    </row>
    <row r="60" spans="2:17">
      <c r="B60" s="121" t="s">
        <v>182</v>
      </c>
      <c r="C60" s="139"/>
      <c r="E60" s="122">
        <f>SUM($E59:E59)</f>
        <v>0</v>
      </c>
      <c r="F60" s="122">
        <f>SUM($E59:F59)</f>
        <v>0</v>
      </c>
      <c r="G60" s="122">
        <f>SUM($E59:G59)</f>
        <v>0</v>
      </c>
      <c r="H60" s="122">
        <f>SUM($E59:H59)</f>
        <v>0</v>
      </c>
      <c r="I60" s="122">
        <f>SUM($E59:I59)</f>
        <v>0</v>
      </c>
      <c r="J60" s="122">
        <f>SUM($E59:J59)</f>
        <v>0</v>
      </c>
      <c r="K60" s="122">
        <f>SUM($E59:K59)</f>
        <v>0</v>
      </c>
      <c r="L60" s="122">
        <f>SUM($E59:L59)</f>
        <v>88551.650080517487</v>
      </c>
      <c r="M60" s="122">
        <f>SUM($E59:M59)</f>
        <v>88551.650080517487</v>
      </c>
      <c r="N60" s="122">
        <f>SUM($E59:N59)</f>
        <v>88551.650080517487</v>
      </c>
      <c r="O60" s="122">
        <f>SUM($E59:O59)</f>
        <v>88551.650080517487</v>
      </c>
    </row>
    <row r="61" spans="2:17">
      <c r="C61" s="139"/>
    </row>
    <row r="62" spans="2:17">
      <c r="B62" s="121" t="s">
        <v>167</v>
      </c>
      <c r="C62" s="139"/>
      <c r="D62" s="124">
        <f>(ResidentialAffordablePSFrate*(1-$K53))+((ResidentialAffordablePSFrate*(1+premiumprices)*$K53))</f>
        <v>1.2738095238095237</v>
      </c>
      <c r="E62" s="125">
        <f t="shared" ref="E62:O62" si="23">E60*($D62*((1+Inflation)^(E$2-1)))*12</f>
        <v>0</v>
      </c>
      <c r="F62" s="125">
        <f t="shared" si="23"/>
        <v>0</v>
      </c>
      <c r="G62" s="125">
        <f t="shared" si="23"/>
        <v>0</v>
      </c>
      <c r="H62" s="125">
        <f t="shared" si="23"/>
        <v>0</v>
      </c>
      <c r="I62" s="125">
        <f t="shared" si="23"/>
        <v>0</v>
      </c>
      <c r="J62" s="125">
        <f t="shared" si="23"/>
        <v>0</v>
      </c>
      <c r="K62" s="125">
        <f t="shared" si="23"/>
        <v>0</v>
      </c>
      <c r="L62" s="125">
        <f t="shared" si="23"/>
        <v>1524345.5474058483</v>
      </c>
      <c r="M62" s="125">
        <f t="shared" si="23"/>
        <v>1554832.4583539648</v>
      </c>
      <c r="N62" s="125">
        <f t="shared" si="23"/>
        <v>1585929.1075210443</v>
      </c>
      <c r="O62" s="125">
        <f t="shared" si="23"/>
        <v>1617647.6896714652</v>
      </c>
    </row>
    <row r="63" spans="2:17">
      <c r="B63" s="121" t="s">
        <v>124</v>
      </c>
      <c r="C63" s="139"/>
      <c r="D63" s="124">
        <f>INDEX(cockpit!$J$6:$X$16,MATCH($D54,cockpit!$J$6:$J$16,0),MATCH($B63,cockpit!$J$6:$X$6,0))</f>
        <v>5</v>
      </c>
      <c r="E63" s="126">
        <f t="shared" ref="E63:O63" si="24">-IF($D63&gt;1,E57*($D63*((1+Inflation)^(E$2-1))),E62*(1-$D63))</f>
        <v>0</v>
      </c>
      <c r="F63" s="126">
        <f t="shared" si="24"/>
        <v>0</v>
      </c>
      <c r="G63" s="126">
        <f t="shared" si="24"/>
        <v>0</v>
      </c>
      <c r="H63" s="126">
        <f t="shared" si="24"/>
        <v>0</v>
      </c>
      <c r="I63" s="126">
        <f t="shared" si="24"/>
        <v>0</v>
      </c>
      <c r="J63" s="126">
        <f t="shared" si="24"/>
        <v>0</v>
      </c>
      <c r="K63" s="126">
        <f t="shared" si="24"/>
        <v>0</v>
      </c>
      <c r="L63" s="126">
        <f t="shared" si="24"/>
        <v>-541093.54576502857</v>
      </c>
      <c r="M63" s="126">
        <f t="shared" si="24"/>
        <v>-551915.41668032901</v>
      </c>
      <c r="N63" s="126">
        <f t="shared" si="24"/>
        <v>-562953.72501393559</v>
      </c>
      <c r="O63" s="126">
        <f t="shared" si="24"/>
        <v>-574212.79951421439</v>
      </c>
    </row>
    <row r="64" spans="2:17">
      <c r="B64" s="127" t="s">
        <v>168</v>
      </c>
      <c r="C64" s="139"/>
      <c r="E64" s="125">
        <f>SUM(E62:E63)</f>
        <v>0</v>
      </c>
      <c r="F64" s="125">
        <f t="shared" ref="F64:O64" si="25">SUM(F62:F63)</f>
        <v>0</v>
      </c>
      <c r="G64" s="125">
        <f t="shared" si="25"/>
        <v>0</v>
      </c>
      <c r="H64" s="125">
        <f t="shared" si="25"/>
        <v>0</v>
      </c>
      <c r="I64" s="125">
        <f t="shared" si="25"/>
        <v>0</v>
      </c>
      <c r="J64" s="125">
        <f t="shared" si="25"/>
        <v>0</v>
      </c>
      <c r="K64" s="125">
        <f t="shared" si="25"/>
        <v>0</v>
      </c>
      <c r="L64" s="125">
        <f t="shared" si="25"/>
        <v>983252.00164081971</v>
      </c>
      <c r="M64" s="125">
        <f t="shared" si="25"/>
        <v>1002917.0416736358</v>
      </c>
      <c r="N64" s="125">
        <f t="shared" si="25"/>
        <v>1022975.3825071087</v>
      </c>
      <c r="O64" s="125">
        <f t="shared" si="25"/>
        <v>1043434.8901572508</v>
      </c>
    </row>
    <row r="65" spans="2:15">
      <c r="C65" s="139"/>
      <c r="E65" s="217">
        <f t="shared" ref="E65:O65" si="26">IFERROR(E64/E62,0)</f>
        <v>0</v>
      </c>
      <c r="F65" s="217">
        <f t="shared" si="26"/>
        <v>0</v>
      </c>
      <c r="G65" s="217">
        <f t="shared" si="26"/>
        <v>0</v>
      </c>
      <c r="H65" s="217">
        <f t="shared" si="26"/>
        <v>0</v>
      </c>
      <c r="I65" s="217">
        <f t="shared" si="26"/>
        <v>0</v>
      </c>
      <c r="J65" s="217">
        <f t="shared" si="26"/>
        <v>0</v>
      </c>
      <c r="K65" s="217">
        <f t="shared" si="26"/>
        <v>0</v>
      </c>
      <c r="L65" s="217">
        <f t="shared" si="26"/>
        <v>0.64503222600291066</v>
      </c>
      <c r="M65" s="217">
        <f t="shared" si="26"/>
        <v>0.64503222600291066</v>
      </c>
      <c r="N65" s="217">
        <f t="shared" si="26"/>
        <v>0.64503222600291066</v>
      </c>
      <c r="O65" s="217">
        <f t="shared" si="26"/>
        <v>0.64503222600291066</v>
      </c>
    </row>
    <row r="66" spans="2:15">
      <c r="B66" s="121" t="s">
        <v>169</v>
      </c>
      <c r="C66" s="139"/>
      <c r="D66" s="128">
        <f>INDEX(cockpit!$J$6:$X$16,MATCH($D54,cockpit!$J$6:$J$16,0),MATCH($B66,cockpit!$J$6:$X$6,0))</f>
        <v>0.05</v>
      </c>
      <c r="E66" s="125">
        <f>-E58*$D66</f>
        <v>0</v>
      </c>
      <c r="F66" s="125">
        <f t="shared" ref="F66:O66" si="27">-F58*$D66</f>
        <v>0</v>
      </c>
      <c r="G66" s="125">
        <f t="shared" si="27"/>
        <v>0</v>
      </c>
      <c r="H66" s="125">
        <f t="shared" si="27"/>
        <v>0</v>
      </c>
      <c r="I66" s="125">
        <f t="shared" si="27"/>
        <v>0</v>
      </c>
      <c r="J66" s="125">
        <f t="shared" si="27"/>
        <v>0</v>
      </c>
      <c r="K66" s="125">
        <f t="shared" si="27"/>
        <v>0</v>
      </c>
      <c r="L66" s="125">
        <f t="shared" si="27"/>
        <v>-4564.5180453874991</v>
      </c>
      <c r="M66" s="125">
        <f t="shared" si="27"/>
        <v>-4564.5180453874991</v>
      </c>
      <c r="N66" s="125">
        <f t="shared" si="27"/>
        <v>-4564.5180453874991</v>
      </c>
      <c r="O66" s="125">
        <f t="shared" si="27"/>
        <v>-4564.5180453874991</v>
      </c>
    </row>
    <row r="67" spans="2:15">
      <c r="B67" s="121" t="s">
        <v>163</v>
      </c>
      <c r="C67" s="139"/>
      <c r="D67" s="128">
        <f>INDEX(cockpit!$J$6:$X$16,MATCH($D54,cockpit!$J$6:$J$16,0),MATCH($B67,cockpit!$J$6:$X$6,0))</f>
        <v>0</v>
      </c>
      <c r="E67" s="126">
        <f>-E60*$D67</f>
        <v>0</v>
      </c>
      <c r="F67" s="126">
        <f t="shared" ref="F67:O67" si="28">-F60*$D67</f>
        <v>0</v>
      </c>
      <c r="G67" s="126">
        <f t="shared" si="28"/>
        <v>0</v>
      </c>
      <c r="H67" s="126">
        <f t="shared" si="28"/>
        <v>0</v>
      </c>
      <c r="I67" s="126">
        <f t="shared" si="28"/>
        <v>0</v>
      </c>
      <c r="J67" s="126">
        <f t="shared" si="28"/>
        <v>0</v>
      </c>
      <c r="K67" s="126">
        <f t="shared" si="28"/>
        <v>0</v>
      </c>
      <c r="L67" s="126">
        <f t="shared" si="28"/>
        <v>0</v>
      </c>
      <c r="M67" s="126">
        <f t="shared" si="28"/>
        <v>0</v>
      </c>
      <c r="N67" s="126">
        <f t="shared" si="28"/>
        <v>0</v>
      </c>
      <c r="O67" s="126">
        <f t="shared" si="28"/>
        <v>0</v>
      </c>
    </row>
    <row r="68" spans="2:15">
      <c r="B68" s="127" t="s">
        <v>196</v>
      </c>
      <c r="C68" s="139"/>
      <c r="D68" s="128"/>
      <c r="E68" s="129">
        <f>SUM(E66:E67)</f>
        <v>0</v>
      </c>
      <c r="F68" s="129">
        <f t="shared" ref="F68:O68" si="29">SUM(F66:F67)</f>
        <v>0</v>
      </c>
      <c r="G68" s="129">
        <f t="shared" si="29"/>
        <v>0</v>
      </c>
      <c r="H68" s="129">
        <f t="shared" si="29"/>
        <v>0</v>
      </c>
      <c r="I68" s="129">
        <f t="shared" si="29"/>
        <v>0</v>
      </c>
      <c r="J68" s="129">
        <f t="shared" si="29"/>
        <v>0</v>
      </c>
      <c r="K68" s="129">
        <f t="shared" si="29"/>
        <v>0</v>
      </c>
      <c r="L68" s="129">
        <f t="shared" si="29"/>
        <v>-4564.5180453874991</v>
      </c>
      <c r="M68" s="129">
        <f t="shared" si="29"/>
        <v>-4564.5180453874991</v>
      </c>
      <c r="N68" s="129">
        <f t="shared" si="29"/>
        <v>-4564.5180453874991</v>
      </c>
      <c r="O68" s="129">
        <f t="shared" si="29"/>
        <v>-4564.5180453874991</v>
      </c>
    </row>
    <row r="69" spans="2:15">
      <c r="B69" s="121"/>
      <c r="C69" s="139"/>
    </row>
    <row r="70" spans="2:15">
      <c r="B70" s="121" t="s">
        <v>171</v>
      </c>
      <c r="C70" s="139"/>
      <c r="D70" s="124">
        <f>(ResidentialaffordablecostPSF*(1-$K53))+((ResidentialaffordablecostPSF*(1+premiumprices)*$K53))</f>
        <v>115</v>
      </c>
      <c r="E70" s="125">
        <f>-IF(OR(E$2=$H53,E$2=$H54,AND(E$2&gt;$H53,E$2&lt;$H54)),(INDEX(summary!$A$2:$D$24,MATCH($D54,summary!$A$2:$A$24,0),MATCH($D53,summary!$A$2:$D$2,0)))/Constructiontime)*($D70*((1+Inflation)^(E$2-1)))*(1+Developerfee)</f>
        <v>0</v>
      </c>
      <c r="F70" s="125">
        <f>-IF(OR(F$2=$H53,F$2=$H54,AND(F$2&gt;$H53,F$2&lt;$H54)),(INDEX(summary!$A$2:$D$24,MATCH($D54,summary!$A$2:$A$24,0),MATCH($D53,summary!$A$2:$D$2,0)))/Constructiontime)*($D70*((1+Inflation)^(F$2-1)))*(1+Developerfee)</f>
        <v>0</v>
      </c>
      <c r="G70" s="125">
        <f>-IF(OR(G$2=$H53,G$2=$H54,AND(G$2&gt;$H53,G$2&lt;$H54)),(INDEX(summary!$A$2:$D$24,MATCH($D54,summary!$A$2:$A$24,0),MATCH($D53,summary!$A$2:$D$2,0)))/Constructiontime)*($D70*((1+Inflation)^(G$2-1)))*(1+Developerfee)</f>
        <v>0</v>
      </c>
      <c r="H70" s="125">
        <f>-IF(OR(H$2=$H53,H$2=$H54,AND(H$2&gt;$H53,H$2&lt;$H54)),(INDEX(summary!$A$2:$D$24,MATCH($D54,summary!$A$2:$A$24,0),MATCH($D53,summary!$A$2:$D$2,0)))/Constructiontime)*($D70*((1+Inflation)^(H$2-1)))*(1+Developerfee)</f>
        <v>0</v>
      </c>
      <c r="I70" s="125">
        <f>-IF(OR(I$2=$H53,I$2=$H54,AND(I$2&gt;$H53,I$2&lt;$H54)),(INDEX(summary!$A$2:$D$24,MATCH($D54,summary!$A$2:$A$24,0),MATCH($D53,summary!$A$2:$D$2,0)))/Constructiontime)*($D70*((1+Inflation)^(I$2-1)))*(1+Developerfee)</f>
        <v>0</v>
      </c>
      <c r="J70" s="125">
        <f>-IF(OR(J$2=$H53,J$2=$H54,AND(J$2&gt;$H53,J$2&lt;$H54)),(INDEX(summary!$A$2:$D$24,MATCH($D54,summary!$A$2:$A$24,0),MATCH($D53,summary!$A$2:$D$2,0)))/Constructiontime)*($D70*((1+Inflation)^(J$2-1)))*(1+Developerfee)</f>
        <v>-6878087.4113249732</v>
      </c>
      <c r="K70" s="125">
        <f>-IF(OR(K$2=$H53,K$2=$H54,AND(K$2&gt;$H53,K$2&lt;$H54)),(INDEX(summary!$A$2:$D$24,MATCH($D54,summary!$A$2:$A$24,0),MATCH($D53,summary!$A$2:$D$2,0)))/Constructiontime)*($D70*((1+Inflation)^(K$2-1)))*(1+Developerfee)</f>
        <v>-7015649.1595514724</v>
      </c>
      <c r="L70" s="125">
        <f>-IF(OR(L$2=$H53,L$2=$H54,AND(L$2&gt;$H53,L$2&lt;$H54)),(INDEX(summary!$A$2:$D$24,MATCH($D54,summary!$A$2:$A$24,0),MATCH($D53,summary!$A$2:$D$2,0)))/Constructiontime)*($D70*((1+Inflation)^(L$2-1)))*(1+Developerfee)</f>
        <v>0</v>
      </c>
      <c r="M70" s="125">
        <f>-IF(OR(M$2=$H53,M$2=$H54,AND(M$2&gt;$H53,M$2&lt;$H54)),(INDEX(summary!$A$2:$D$24,MATCH($D54,summary!$A$2:$A$24,0),MATCH($D53,summary!$A$2:$D$2,0)))/Constructiontime)*($D70*((1+Inflation)^(M$2-1)))*(1+Developerfee)</f>
        <v>0</v>
      </c>
      <c r="N70" s="125">
        <f>-IF(OR(N$2=$H53,N$2=$H54,AND(N$2&gt;$H53,N$2&lt;$H54)),(INDEX(summary!$A$2:$D$24,MATCH($D54,summary!$A$2:$A$24,0),MATCH($D53,summary!$A$2:$D$2,0)))/Constructiontime)*($D70*((1+Inflation)^(N$2-1)))*(1+Developerfee)</f>
        <v>0</v>
      </c>
      <c r="O70" s="125">
        <f>-IF(OR(O$2=$H53,O$2=$H54,AND(O$2&gt;$H53,O$2&lt;$H54)),(INDEX(summary!$A$2:$D$24,MATCH($D54,summary!$A$2:$A$24,0),MATCH($D53,summary!$A$2:$D$2,0)))/Constructiontime)*($D70*((1+Inflation)^(O$2-1)))*(1+Developerfee)</f>
        <v>0</v>
      </c>
    </row>
    <row r="71" spans="2:15">
      <c r="B71" s="121" t="s">
        <v>198</v>
      </c>
      <c r="C71" s="139" t="s">
        <v>190</v>
      </c>
      <c r="D71" s="138">
        <f>(INDEX(cockpit!$J$6:$X$16,MATCH($D54,cockpit!$J$6:$J$16,0),MATCH($C71,cockpit!$J$6:$X$6,0))*(1-$K53))+((INDEX(cockpit!$J$6:$X$16,MATCH($D54,cockpit!$J$6:$J$16,0),MATCH($C71,cockpit!$J$6:$X$6,0))-(Premiumexitcaprate))*$K53)</f>
        <v>6.5000000000000002E-2</v>
      </c>
      <c r="E71" s="126">
        <f t="shared" ref="E71:O71" si="30">IF(E$2=dispositionyear,E64/$D71,0)*(1-Closingcosts)</f>
        <v>0</v>
      </c>
      <c r="F71" s="126">
        <f t="shared" si="30"/>
        <v>0</v>
      </c>
      <c r="G71" s="126">
        <f t="shared" si="30"/>
        <v>0</v>
      </c>
      <c r="H71" s="126">
        <f t="shared" si="30"/>
        <v>0</v>
      </c>
      <c r="I71" s="126">
        <f t="shared" si="30"/>
        <v>0</v>
      </c>
      <c r="J71" s="126">
        <f t="shared" si="30"/>
        <v>0</v>
      </c>
      <c r="K71" s="126">
        <f t="shared" si="30"/>
        <v>0</v>
      </c>
      <c r="L71" s="126">
        <f t="shared" si="30"/>
        <v>0</v>
      </c>
      <c r="M71" s="126">
        <f t="shared" si="30"/>
        <v>0</v>
      </c>
      <c r="N71" s="126">
        <f t="shared" si="30"/>
        <v>0</v>
      </c>
      <c r="O71" s="126">
        <f t="shared" si="30"/>
        <v>15651523.352358762</v>
      </c>
    </row>
    <row r="72" spans="2:15">
      <c r="B72" s="127" t="s">
        <v>197</v>
      </c>
      <c r="C72" s="139"/>
      <c r="D72" s="123"/>
      <c r="E72" s="129">
        <f>SUM(E70:E71)</f>
        <v>0</v>
      </c>
      <c r="F72" s="129">
        <f t="shared" ref="F72:O72" si="31">SUM(F70:F71)</f>
        <v>0</v>
      </c>
      <c r="G72" s="129">
        <f t="shared" si="31"/>
        <v>0</v>
      </c>
      <c r="H72" s="129">
        <f t="shared" si="31"/>
        <v>0</v>
      </c>
      <c r="I72" s="129">
        <f t="shared" si="31"/>
        <v>0</v>
      </c>
      <c r="J72" s="129">
        <f t="shared" si="31"/>
        <v>-6878087.4113249732</v>
      </c>
      <c r="K72" s="129">
        <f t="shared" si="31"/>
        <v>-7015649.1595514724</v>
      </c>
      <c r="L72" s="129">
        <f t="shared" si="31"/>
        <v>0</v>
      </c>
      <c r="M72" s="129">
        <f t="shared" si="31"/>
        <v>0</v>
      </c>
      <c r="N72" s="129">
        <f t="shared" si="31"/>
        <v>0</v>
      </c>
      <c r="O72" s="129">
        <f t="shared" si="31"/>
        <v>15651523.352358762</v>
      </c>
    </row>
    <row r="73" spans="2:15">
      <c r="B73" s="121"/>
      <c r="C73" s="139"/>
      <c r="D73" s="123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</row>
    <row r="74" spans="2:15">
      <c r="B74" s="127" t="s">
        <v>170</v>
      </c>
      <c r="C74" s="127"/>
      <c r="D74" s="130">
        <f ca="1">IRR(OFFSET(E74,0,0,1,Investmenthorizon+1))</f>
        <v>8.7019139529848966E-2</v>
      </c>
      <c r="E74" s="131">
        <f>SUM(E64,E68,E72)</f>
        <v>0</v>
      </c>
      <c r="F74" s="131">
        <f t="shared" ref="F74:O74" si="32">SUM(F64,F68,F72)</f>
        <v>0</v>
      </c>
      <c r="G74" s="131">
        <f t="shared" si="32"/>
        <v>0</v>
      </c>
      <c r="H74" s="131">
        <f t="shared" si="32"/>
        <v>0</v>
      </c>
      <c r="I74" s="131">
        <f t="shared" si="32"/>
        <v>0</v>
      </c>
      <c r="J74" s="131">
        <f t="shared" si="32"/>
        <v>-6878087.4113249732</v>
      </c>
      <c r="K74" s="131">
        <f t="shared" si="32"/>
        <v>-7015649.1595514724</v>
      </c>
      <c r="L74" s="131">
        <f t="shared" si="32"/>
        <v>978687.48359543225</v>
      </c>
      <c r="M74" s="131">
        <f t="shared" si="32"/>
        <v>998352.52362824837</v>
      </c>
      <c r="N74" s="131">
        <f t="shared" si="32"/>
        <v>1018410.8644617213</v>
      </c>
      <c r="O74" s="131">
        <f t="shared" si="32"/>
        <v>16690393.724470625</v>
      </c>
    </row>
    <row r="75" spans="2:15">
      <c r="B75" s="127"/>
      <c r="C75" s="127"/>
      <c r="D75" s="132"/>
      <c r="H75" s="13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3994A-5C12-444B-AEE5-8023686FB570}">
  <sheetPr>
    <tabColor theme="9" tint="0.59999389629810485"/>
  </sheetPr>
  <dimension ref="B2:P82"/>
  <sheetViews>
    <sheetView showGridLines="0" topLeftCell="A5" zoomScale="70" zoomScaleNormal="70" workbookViewId="0">
      <selection activeCell="G15" sqref="G15"/>
    </sheetView>
    <sheetView topLeftCell="A56" zoomScale="80" zoomScaleNormal="80" workbookViewId="1">
      <selection activeCell="G54" sqref="G54"/>
    </sheetView>
  </sheetViews>
  <sheetFormatPr defaultRowHeight="9" customHeight="1"/>
  <cols>
    <col min="2" max="2" width="24.15625" bestFit="1" customWidth="1"/>
    <col min="3" max="3" width="1.15625" customWidth="1"/>
    <col min="5" max="5" width="9" bestFit="1" customWidth="1"/>
    <col min="6" max="7" width="11.47265625" bestFit="1" customWidth="1"/>
    <col min="8" max="8" width="10.3671875" bestFit="1" customWidth="1"/>
    <col min="9" max="14" width="11.1015625" bestFit="1" customWidth="1"/>
    <col min="15" max="15" width="11.734375" bestFit="1" customWidth="1"/>
  </cols>
  <sheetData>
    <row r="2" spans="2:16" ht="9" customHeight="1" thickBot="1">
      <c r="B2" s="150" t="s">
        <v>176</v>
      </c>
      <c r="C2" s="150"/>
      <c r="D2" s="151"/>
      <c r="E2" s="151">
        <v>0</v>
      </c>
      <c r="F2" s="151">
        <v>1</v>
      </c>
      <c r="G2" s="151">
        <v>2</v>
      </c>
      <c r="H2" s="151">
        <v>3</v>
      </c>
      <c r="I2" s="151">
        <v>4</v>
      </c>
      <c r="J2" s="151">
        <v>5</v>
      </c>
      <c r="K2" s="151">
        <v>6</v>
      </c>
      <c r="L2" s="151">
        <v>7</v>
      </c>
      <c r="M2" s="151">
        <v>8</v>
      </c>
      <c r="N2" s="151">
        <v>9</v>
      </c>
      <c r="O2" s="151">
        <v>10</v>
      </c>
    </row>
    <row r="3" spans="2:16" ht="9" customHeight="1" thickBot="1"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6" ht="9" customHeight="1">
      <c r="B4" s="144" t="s">
        <v>199</v>
      </c>
      <c r="C4" s="145"/>
      <c r="D4" s="145"/>
      <c r="E4" s="156"/>
      <c r="F4" s="157"/>
      <c r="G4" s="157"/>
      <c r="H4" s="157"/>
      <c r="I4" s="157"/>
      <c r="J4" s="157"/>
      <c r="K4" s="146"/>
      <c r="L4" s="119"/>
      <c r="M4" s="119"/>
      <c r="N4" s="119"/>
      <c r="O4" s="119"/>
    </row>
    <row r="5" spans="2:16" ht="9" customHeight="1">
      <c r="B5" s="147" t="s">
        <v>89</v>
      </c>
      <c r="C5" s="142"/>
      <c r="D5" s="155">
        <f>Phase1</f>
        <v>1</v>
      </c>
      <c r="E5" s="140"/>
      <c r="F5" s="140"/>
      <c r="G5" s="141" t="s">
        <v>205</v>
      </c>
      <c r="H5" s="161">
        <f>Phase1begin</f>
        <v>1</v>
      </c>
      <c r="I5" s="140"/>
      <c r="J5" s="141" t="s">
        <v>202</v>
      </c>
      <c r="K5" s="158">
        <f>summary!AF15</f>
        <v>0.12273655606282502</v>
      </c>
      <c r="L5" s="117"/>
      <c r="M5" s="117"/>
      <c r="N5" s="117"/>
      <c r="O5" s="117"/>
    </row>
    <row r="6" spans="2:16" ht="9" customHeight="1">
      <c r="B6" s="147" t="s">
        <v>94</v>
      </c>
      <c r="C6" s="142"/>
      <c r="D6" s="152" t="s">
        <v>226</v>
      </c>
      <c r="E6" s="140"/>
      <c r="F6" s="140"/>
      <c r="G6" s="141" t="s">
        <v>206</v>
      </c>
      <c r="H6" s="161">
        <f>Phase1end</f>
        <v>2</v>
      </c>
      <c r="I6" s="140"/>
      <c r="J6" s="140"/>
      <c r="K6" s="148"/>
      <c r="L6" s="117"/>
      <c r="M6" s="117"/>
      <c r="N6" s="117"/>
      <c r="O6" s="117"/>
    </row>
    <row r="7" spans="2:16" ht="9" customHeight="1" thickBot="1">
      <c r="B7" s="159"/>
      <c r="C7" s="160"/>
      <c r="D7" s="160"/>
      <c r="E7" s="160"/>
      <c r="F7" s="160"/>
      <c r="G7" s="150" t="s">
        <v>200</v>
      </c>
      <c r="H7" s="153">
        <f>Phase1open</f>
        <v>3</v>
      </c>
      <c r="I7" s="160"/>
      <c r="J7" s="160"/>
      <c r="K7" s="149"/>
      <c r="L7" s="117"/>
      <c r="M7" s="117"/>
      <c r="N7" s="117"/>
      <c r="O7" s="117"/>
    </row>
    <row r="8" spans="2:16" ht="9" customHeight="1">
      <c r="B8" s="117"/>
      <c r="C8" s="136"/>
      <c r="D8" s="120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2:16" ht="9" customHeight="1">
      <c r="B9" s="121" t="s">
        <v>276</v>
      </c>
      <c r="C9" s="136"/>
      <c r="D9" s="120"/>
      <c r="E9" s="245">
        <v>0</v>
      </c>
      <c r="F9" s="245">
        <v>0</v>
      </c>
      <c r="G9" s="245">
        <v>0</v>
      </c>
      <c r="H9" s="247">
        <f>SUM('acq-demo-repur'!G8)</f>
        <v>24300</v>
      </c>
      <c r="I9" s="244">
        <f>H9</f>
        <v>24300</v>
      </c>
      <c r="J9" s="244">
        <f t="shared" ref="J9:O9" si="0">I9</f>
        <v>24300</v>
      </c>
      <c r="K9" s="244">
        <f t="shared" si="0"/>
        <v>24300</v>
      </c>
      <c r="L9" s="244">
        <f t="shared" si="0"/>
        <v>24300</v>
      </c>
      <c r="M9" s="244">
        <f t="shared" si="0"/>
        <v>24300</v>
      </c>
      <c r="N9" s="244">
        <f t="shared" si="0"/>
        <v>24300</v>
      </c>
      <c r="O9" s="244">
        <f t="shared" si="0"/>
        <v>24300</v>
      </c>
    </row>
    <row r="10" spans="2:16" ht="9" customHeight="1">
      <c r="B10" s="121" t="s">
        <v>275</v>
      </c>
      <c r="C10" s="121"/>
      <c r="D10" s="117"/>
      <c r="E10" s="122">
        <f>IF(OR(E$2=$H7,E$2&gt;$H7),INDEX(summary!$A$2:$D$24,MATCH($D6,summary!$A$2:$A$24,0),MATCH($D5,summary!$A$2:$D$2,0)),0)</f>
        <v>0</v>
      </c>
      <c r="F10" s="122">
        <f>IF(OR(F$2=$H7,F$2&gt;$H7),INDEX(summary!$A$2:$D$24,MATCH($D6,summary!$A$2:$A$24,0),MATCH($D5,summary!$A$2:$D$2,0)),0)</f>
        <v>0</v>
      </c>
      <c r="G10" s="122">
        <f>IF(OR(G$2=$H7,G$2&gt;$H7),INDEX(summary!$A$2:$D$24,MATCH($D6,summary!$A$2:$A$24,0),MATCH($D5,summary!$A$2:$D$2,0)),0)</f>
        <v>0</v>
      </c>
      <c r="H10" s="122">
        <f>IF(OR(H$2=$H7,H$2&gt;$H7),INDEX(summary!$A$2:$D$24,MATCH($D6,summary!$A$2:$A$24,0),MATCH($D5,summary!$A$2:$D$2,0)),0)</f>
        <v>603709.09349999984</v>
      </c>
      <c r="I10" s="122">
        <f>IF(OR(I$2=$H7,I$2&gt;$H7),INDEX(summary!$A$2:$D$24,MATCH($D6,summary!$A$2:$A$24,0),MATCH($D5,summary!$A$2:$D$2,0)),0)</f>
        <v>603709.09349999984</v>
      </c>
      <c r="J10" s="122">
        <f>IF(OR(J$2=$H7,J$2&gt;$H7),INDEX(summary!$A$2:$D$24,MATCH($D6,summary!$A$2:$A$24,0),MATCH($D5,summary!$A$2:$D$2,0)),0)</f>
        <v>603709.09349999984</v>
      </c>
      <c r="K10" s="122">
        <f>IF(OR(K$2=$H7,K$2&gt;$H7),INDEX(summary!$A$2:$D$24,MATCH($D6,summary!$A$2:$A$24,0),MATCH($D5,summary!$A$2:$D$2,0)),0)</f>
        <v>603709.09349999984</v>
      </c>
      <c r="L10" s="122">
        <f>IF(OR(L$2=$H7,L$2&gt;$H7),INDEX(summary!$A$2:$D$24,MATCH($D6,summary!$A$2:$A$24,0),MATCH($D5,summary!$A$2:$D$2,0)),0)</f>
        <v>603709.09349999984</v>
      </c>
      <c r="M10" s="122">
        <f>IF(OR(M$2=$H7,M$2&gt;$H7),INDEX(summary!$A$2:$D$24,MATCH($D6,summary!$A$2:$A$24,0),MATCH($D5,summary!$A$2:$D$2,0)),0)</f>
        <v>603709.09349999984</v>
      </c>
      <c r="N10" s="122">
        <f>IF(OR(N$2=$H7,N$2&gt;$H7),INDEX(summary!$A$2:$D$24,MATCH($D6,summary!$A$2:$A$24,0),MATCH($D5,summary!$A$2:$D$2,0)),0)</f>
        <v>603709.09349999984</v>
      </c>
      <c r="O10" s="122">
        <f>IF(OR(O$2=$H7,O$2&gt;$H7),INDEX(summary!$A$2:$D$24,MATCH($D6,summary!$A$2:$A$24,0),MATCH($D5,summary!$A$2:$D$2,0)),0)</f>
        <v>603709.09349999984</v>
      </c>
    </row>
    <row r="11" spans="2:16" ht="9" customHeight="1">
      <c r="B11" s="121" t="s">
        <v>195</v>
      </c>
      <c r="C11" s="137" t="s">
        <v>192</v>
      </c>
      <c r="D11" s="123">
        <f>INDEX(cockpit!$J$6:$X$16,MATCH($D6,cockpit!$J$6:$J$16,0),MATCH($C$11,cockpit!$J$6:$X$6,0))</f>
        <v>0</v>
      </c>
      <c r="E11" s="122">
        <f>E10*(1-$D11)</f>
        <v>0</v>
      </c>
      <c r="F11" s="122">
        <f t="shared" ref="F11:G11" si="1">F10*(1-$D11)</f>
        <v>0</v>
      </c>
      <c r="G11" s="122">
        <f t="shared" si="1"/>
        <v>0</v>
      </c>
      <c r="H11" s="122">
        <f>SUM(H9:H10)*(1-$D11)</f>
        <v>628009.09349999984</v>
      </c>
      <c r="I11" s="122">
        <f t="shared" ref="I11:O11" si="2">SUM(I9:I10)*(1-$D11)</f>
        <v>628009.09349999984</v>
      </c>
      <c r="J11" s="122">
        <f t="shared" si="2"/>
        <v>628009.09349999984</v>
      </c>
      <c r="K11" s="122">
        <f t="shared" si="2"/>
        <v>628009.09349999984</v>
      </c>
      <c r="L11" s="122">
        <f t="shared" si="2"/>
        <v>628009.09349999984</v>
      </c>
      <c r="M11" s="122">
        <f t="shared" si="2"/>
        <v>628009.09349999984</v>
      </c>
      <c r="N11" s="122">
        <f t="shared" si="2"/>
        <v>628009.09349999984</v>
      </c>
      <c r="O11" s="122">
        <f t="shared" si="2"/>
        <v>628009.09349999984</v>
      </c>
    </row>
    <row r="12" spans="2:16" ht="9" customHeight="1">
      <c r="B12" s="121" t="s">
        <v>181</v>
      </c>
      <c r="C12" s="137" t="s">
        <v>153</v>
      </c>
      <c r="D12" s="138">
        <f>Officerampup</f>
        <v>0.28333333333333333</v>
      </c>
      <c r="E12" s="122">
        <f>IF(OR(E$2=$H7,AND(E$2&gt;$H7,E$2&lt;(SUM($H7,INDEX(cockpit!$J$6:$X$16,MATCH($D6,cockpit!$J$6:$J$16,0),MATCH($C$12,cockpit!$J$6:$X$6,0)))))),E11*$D12,0)</f>
        <v>0</v>
      </c>
      <c r="F12" s="122">
        <f>IF(OR(F$2=$H7,AND(F$2&gt;$H7,F$2&lt;(SUM($H7,INDEX(cockpit!$J$6:$X$16,MATCH($D6,cockpit!$J$6:$J$16,0),MATCH($C$12,cockpit!$J$6:$X$6,0)))))),F11*$D12,0)</f>
        <v>0</v>
      </c>
      <c r="G12" s="122">
        <f>IF(OR(G$2=$H7,AND(G$2&gt;$H7,G$2&lt;(SUM($H7,INDEX(cockpit!$J$6:$X$16,MATCH($D6,cockpit!$J$6:$J$16,0),MATCH($C$12,cockpit!$J$6:$X$6,0)))))),G11*$D12,0)</f>
        <v>0</v>
      </c>
      <c r="H12" s="122">
        <f>IF(OR(H$2=$H7,AND(H$2&gt;$H7,H$2&lt;(SUM($H7,INDEX(cockpit!$J$6:$X$16,MATCH($D6,cockpit!$J$6:$J$16,0),MATCH($C$12,cockpit!$J$6:$X$6,0)))))),H11*$D12,0)</f>
        <v>177935.90982499995</v>
      </c>
      <c r="I12" s="122">
        <f>IF(OR(I$2=$H7,AND(I$2&gt;$H7,I$2&lt;(SUM($H7,INDEX(cockpit!$J$6:$X$16,MATCH($D6,cockpit!$J$6:$J$16,0),MATCH($C$12,cockpit!$J$6:$X$6,0)))))),I11*$D12,0)</f>
        <v>177935.90982499995</v>
      </c>
      <c r="J12" s="122">
        <f>IF(OR(J$2=$H7,AND(J$2&gt;$H7,J$2&lt;(SUM($H7,INDEX(cockpit!$J$6:$X$16,MATCH($D6,cockpit!$J$6:$J$16,0),MATCH($C$12,cockpit!$J$6:$X$6,0)))))),J11*$D12,0)</f>
        <v>177935.90982499995</v>
      </c>
      <c r="K12" s="122">
        <f>IF(OR(K$2=$H7,AND(K$2&gt;$H7,K$2&lt;(SUM($H7,INDEX(cockpit!$J$6:$X$16,MATCH($D6,cockpit!$J$6:$J$16,0),MATCH($C$12,cockpit!$J$6:$X$6,0)))))),K11*$D12,0)</f>
        <v>0</v>
      </c>
      <c r="L12" s="122">
        <f>IF(OR(L$2=$H7,AND(L$2&gt;$H7,L$2&lt;(SUM($H7,INDEX(cockpit!$J$6:$X$16,MATCH($D6,cockpit!$J$6:$J$16,0),MATCH($C$12,cockpit!$J$6:$X$6,0)))))),L11*$D12,0)</f>
        <v>0</v>
      </c>
      <c r="M12" s="122">
        <f>IF(OR(M$2=$H7,AND(M$2&gt;$H7,M$2&lt;(SUM($H7,INDEX(cockpit!$J$6:$X$16,MATCH($D6,cockpit!$J$6:$J$16,0),MATCH($C$12,cockpit!$J$6:$X$6,0)))))),M11*$D12,0)</f>
        <v>0</v>
      </c>
      <c r="N12" s="122">
        <f>IF(OR(N$2=$H7,AND(N$2&gt;$H7,N$2&lt;(SUM($H7,INDEX(cockpit!$J$6:$X$16,MATCH($D6,cockpit!$J$6:$J$16,0),MATCH($C$12,cockpit!$J$6:$X$6,0)))))),N11*$D12,0)</f>
        <v>0</v>
      </c>
      <c r="O12" s="122">
        <f>IF(OR(O$2=$H7,AND(O$2&gt;$H7,O$2&lt;(SUM($H7,INDEX(cockpit!$J$6:$X$16,MATCH($D6,cockpit!$J$6:$J$16,0),MATCH($C$12,cockpit!$J$6:$X$6,0)))))),O11*$D12,0)</f>
        <v>0</v>
      </c>
    </row>
    <row r="13" spans="2:16" ht="9" customHeight="1">
      <c r="B13" s="121" t="s">
        <v>182</v>
      </c>
      <c r="C13" s="139"/>
      <c r="D13" s="117"/>
      <c r="E13" s="122">
        <f>SUM($E12:E12)</f>
        <v>0</v>
      </c>
      <c r="F13" s="122">
        <f>SUM($E12:F12)</f>
        <v>0</v>
      </c>
      <c r="G13" s="122">
        <f>SUM($E12:G12)</f>
        <v>0</v>
      </c>
      <c r="H13" s="122">
        <f>SUM($E12:H12)</f>
        <v>177935.90982499995</v>
      </c>
      <c r="I13" s="122">
        <f>SUM($E12:I12)</f>
        <v>355871.8196499999</v>
      </c>
      <c r="J13" s="122">
        <f>SUM($E12:J12)</f>
        <v>533807.72947499983</v>
      </c>
      <c r="K13" s="122">
        <f>SUM($E12:K12)</f>
        <v>533807.72947499983</v>
      </c>
      <c r="L13" s="122">
        <f>SUM($E12:L12)</f>
        <v>533807.72947499983</v>
      </c>
      <c r="M13" s="122">
        <f>SUM($E12:M12)</f>
        <v>533807.72947499983</v>
      </c>
      <c r="N13" s="122">
        <f>SUM($E12:N12)</f>
        <v>533807.72947499983</v>
      </c>
      <c r="O13" s="122">
        <f>SUM($E12:O12)</f>
        <v>533807.72947499983</v>
      </c>
    </row>
    <row r="14" spans="2:16" ht="9" customHeight="1">
      <c r="B14" s="117"/>
      <c r="C14" s="139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2:16" ht="9" customHeight="1">
      <c r="B15" s="134" t="s">
        <v>167</v>
      </c>
      <c r="C15" s="139"/>
      <c r="D15" s="124">
        <f>(OfficemarketratePSF*(1-$K5))+((OfficemarketratePSF*(1+premiumprices)*$K5))</f>
        <v>30.736419336376951</v>
      </c>
      <c r="E15" s="125">
        <f t="shared" ref="E15:O15" si="3">E13*($D15*((1+Inflation)^(E$2-1)))</f>
        <v>0</v>
      </c>
      <c r="F15" s="125">
        <f t="shared" si="3"/>
        <v>0</v>
      </c>
      <c r="G15" s="125">
        <f t="shared" si="3"/>
        <v>0</v>
      </c>
      <c r="H15" s="125">
        <f t="shared" si="3"/>
        <v>5690064.8940519448</v>
      </c>
      <c r="I15" s="125">
        <f t="shared" si="3"/>
        <v>11607732.383865966</v>
      </c>
      <c r="J15" s="125">
        <f t="shared" si="3"/>
        <v>17759830.547314927</v>
      </c>
      <c r="K15" s="125">
        <f t="shared" si="3"/>
        <v>18115027.158261225</v>
      </c>
      <c r="L15" s="125">
        <f t="shared" si="3"/>
        <v>18477327.701426454</v>
      </c>
      <c r="M15" s="125">
        <f t="shared" si="3"/>
        <v>18846874.25545498</v>
      </c>
      <c r="N15" s="125">
        <f t="shared" si="3"/>
        <v>19223811.740564082</v>
      </c>
      <c r="O15" s="125">
        <f t="shared" si="3"/>
        <v>19608287.975375358</v>
      </c>
    </row>
    <row r="16" spans="2:16" ht="9" customHeight="1">
      <c r="B16" s="134" t="s">
        <v>218</v>
      </c>
      <c r="C16" s="139"/>
      <c r="D16" s="124">
        <f>IF(INDEX(cockpit!$J$6:$X$16,MATCH($D6,cockpit!$J$6:$J$16,0),MATCH($B16,cockpit!$J$6:$X$6,0))="Y",D17,0)</f>
        <v>10</v>
      </c>
      <c r="E16" s="125">
        <f>-IF($D16&gt;0,E17,0)</f>
        <v>0</v>
      </c>
      <c r="F16" s="125">
        <f t="shared" ref="F16:O16" si="4">-IF($D16&gt;0,F17,0)</f>
        <v>0</v>
      </c>
      <c r="G16" s="125">
        <f t="shared" si="4"/>
        <v>0</v>
      </c>
      <c r="H16" s="125">
        <f t="shared" si="4"/>
        <v>6533806.608773998</v>
      </c>
      <c r="I16" s="125">
        <f t="shared" si="4"/>
        <v>6664482.740949478</v>
      </c>
      <c r="J16" s="125">
        <f t="shared" si="4"/>
        <v>6797772.3957684673</v>
      </c>
      <c r="K16" s="125">
        <f t="shared" si="4"/>
        <v>6933727.8436838379</v>
      </c>
      <c r="L16" s="125">
        <f t="shared" si="4"/>
        <v>7072402.4005575143</v>
      </c>
      <c r="M16" s="125">
        <f t="shared" si="4"/>
        <v>7213850.4485686636</v>
      </c>
      <c r="N16" s="125">
        <f t="shared" si="4"/>
        <v>7358127.4575400371</v>
      </c>
      <c r="O16" s="125">
        <f t="shared" si="4"/>
        <v>7505290.0066908374</v>
      </c>
      <c r="P16" s="125"/>
    </row>
    <row r="17" spans="2:15" ht="9" customHeight="1">
      <c r="B17" s="134" t="s">
        <v>124</v>
      </c>
      <c r="C17" s="139"/>
      <c r="D17" s="124">
        <f>INDEX(cockpit!$J$6:$X$16,MATCH($D6,cockpit!$J$6:$J$16,0),MATCH($B17,cockpit!$J$6:$X$6,0))</f>
        <v>10</v>
      </c>
      <c r="E17" s="126">
        <f>-IF($D17&gt;1,E10*($D17*((1+Inflation)^(E$2-1))),E15*(1-$D17))</f>
        <v>0</v>
      </c>
      <c r="F17" s="126">
        <f>-IF($D17&gt;1,F10*($D17*((1+Inflation)^(F$2-1))),F15*(1-$D17))</f>
        <v>0</v>
      </c>
      <c r="G17" s="126">
        <f>-IF($D17&gt;1,G10*($D17*((1+Inflation)^(G$2-1))),G15*(1-$D17))</f>
        <v>0</v>
      </c>
      <c r="H17" s="126">
        <f t="shared" ref="H17:O17" si="5">-IF($D17&gt;1,SUM(H9,H10)*($D17*((1+Inflation)^(H$2-1))),H15*(1-$D17))</f>
        <v>-6533806.608773998</v>
      </c>
      <c r="I17" s="126">
        <f t="shared" si="5"/>
        <v>-6664482.740949478</v>
      </c>
      <c r="J17" s="126">
        <f t="shared" si="5"/>
        <v>-6797772.3957684673</v>
      </c>
      <c r="K17" s="126">
        <f t="shared" si="5"/>
        <v>-6933727.8436838379</v>
      </c>
      <c r="L17" s="126">
        <f t="shared" si="5"/>
        <v>-7072402.4005575143</v>
      </c>
      <c r="M17" s="126">
        <f t="shared" si="5"/>
        <v>-7213850.4485686636</v>
      </c>
      <c r="N17" s="126">
        <f t="shared" si="5"/>
        <v>-7358127.4575400371</v>
      </c>
      <c r="O17" s="126">
        <f t="shared" si="5"/>
        <v>-7505290.0066908374</v>
      </c>
    </row>
    <row r="18" spans="2:15" ht="9" customHeight="1">
      <c r="B18" s="135" t="s">
        <v>168</v>
      </c>
      <c r="C18" s="139"/>
      <c r="D18" s="117"/>
      <c r="E18" s="125">
        <f>SUM(E15:E17)</f>
        <v>0</v>
      </c>
      <c r="F18" s="125">
        <f t="shared" ref="F18:O18" si="6">SUM(F15:F17)</f>
        <v>0</v>
      </c>
      <c r="G18" s="125">
        <f t="shared" si="6"/>
        <v>0</v>
      </c>
      <c r="H18" s="125">
        <f t="shared" si="6"/>
        <v>5690064.8940519439</v>
      </c>
      <c r="I18" s="125">
        <f t="shared" si="6"/>
        <v>11607732.383865964</v>
      </c>
      <c r="J18" s="125">
        <f t="shared" si="6"/>
        <v>17759830.547314927</v>
      </c>
      <c r="K18" s="125">
        <f t="shared" si="6"/>
        <v>18115027.158261225</v>
      </c>
      <c r="L18" s="125">
        <f t="shared" si="6"/>
        <v>18477327.701426454</v>
      </c>
      <c r="M18" s="125">
        <f t="shared" si="6"/>
        <v>18846874.25545498</v>
      </c>
      <c r="N18" s="125">
        <f t="shared" si="6"/>
        <v>19223811.740564086</v>
      </c>
      <c r="O18" s="125">
        <f t="shared" si="6"/>
        <v>19608287.975375358</v>
      </c>
    </row>
    <row r="19" spans="2:15" ht="9" customHeight="1">
      <c r="B19" s="120"/>
      <c r="C19" s="139"/>
      <c r="D19" s="117"/>
      <c r="E19" s="217">
        <f t="shared" ref="E19:O19" si="7">IFERROR(E18/SUM(E15:E16),0)</f>
        <v>0</v>
      </c>
      <c r="F19" s="217">
        <f t="shared" si="7"/>
        <v>0</v>
      </c>
      <c r="G19" s="217">
        <f t="shared" si="7"/>
        <v>0</v>
      </c>
      <c r="H19" s="217">
        <f t="shared" si="7"/>
        <v>0.46548795058394571</v>
      </c>
      <c r="I19" s="217">
        <f t="shared" si="7"/>
        <v>0.63526684118892274</v>
      </c>
      <c r="J19" s="217">
        <f t="shared" si="7"/>
        <v>0.72319071973256055</v>
      </c>
      <c r="K19" s="217">
        <f t="shared" si="7"/>
        <v>0.72319071973256044</v>
      </c>
      <c r="L19" s="217">
        <f t="shared" si="7"/>
        <v>0.72319071973256055</v>
      </c>
      <c r="M19" s="217">
        <f t="shared" si="7"/>
        <v>0.72319071973256055</v>
      </c>
      <c r="N19" s="217">
        <f t="shared" si="7"/>
        <v>0.72319071973256066</v>
      </c>
      <c r="O19" s="217">
        <f t="shared" si="7"/>
        <v>0.72319071973256055</v>
      </c>
    </row>
    <row r="20" spans="2:15" ht="9" customHeight="1">
      <c r="B20" s="121" t="s">
        <v>169</v>
      </c>
      <c r="C20" s="139"/>
      <c r="D20" s="128">
        <f>INDEX(cockpit!$J$6:$X$16,MATCH($D6,cockpit!$J$6:$J$16,0),MATCH($B20,cockpit!$J$6:$X$6,0))</f>
        <v>0.05</v>
      </c>
      <c r="E20" s="125">
        <f t="shared" ref="E20:O20" si="8">-E11*$D20</f>
        <v>0</v>
      </c>
      <c r="F20" s="125">
        <f t="shared" si="8"/>
        <v>0</v>
      </c>
      <c r="G20" s="125">
        <f t="shared" si="8"/>
        <v>0</v>
      </c>
      <c r="H20" s="125">
        <f t="shared" si="8"/>
        <v>-31400.454674999994</v>
      </c>
      <c r="I20" s="125">
        <f t="shared" si="8"/>
        <v>-31400.454674999994</v>
      </c>
      <c r="J20" s="125">
        <f t="shared" si="8"/>
        <v>-31400.454674999994</v>
      </c>
      <c r="K20" s="125">
        <f t="shared" si="8"/>
        <v>-31400.454674999994</v>
      </c>
      <c r="L20" s="125">
        <f t="shared" si="8"/>
        <v>-31400.454674999994</v>
      </c>
      <c r="M20" s="125">
        <f t="shared" si="8"/>
        <v>-31400.454674999994</v>
      </c>
      <c r="N20" s="125">
        <f t="shared" si="8"/>
        <v>-31400.454674999994</v>
      </c>
      <c r="O20" s="125">
        <f t="shared" si="8"/>
        <v>-31400.454674999994</v>
      </c>
    </row>
    <row r="21" spans="2:15" ht="9" customHeight="1">
      <c r="B21" s="121" t="s">
        <v>163</v>
      </c>
      <c r="C21" s="139"/>
      <c r="D21" s="128">
        <f>INDEX(cockpit!$J$6:$X$16,MATCH($D6,cockpit!$J$6:$J$16,0),MATCH($B21,cockpit!$J$6:$X$6,0))</f>
        <v>0.05</v>
      </c>
      <c r="E21" s="126">
        <f t="shared" ref="E21:O21" si="9">-E13*$D21</f>
        <v>0</v>
      </c>
      <c r="F21" s="126">
        <f t="shared" si="9"/>
        <v>0</v>
      </c>
      <c r="G21" s="126">
        <f t="shared" si="9"/>
        <v>0</v>
      </c>
      <c r="H21" s="126">
        <f t="shared" si="9"/>
        <v>-8896.7954912499972</v>
      </c>
      <c r="I21" s="126">
        <f t="shared" si="9"/>
        <v>-17793.590982499994</v>
      </c>
      <c r="J21" s="126">
        <f t="shared" si="9"/>
        <v>-26690.386473749993</v>
      </c>
      <c r="K21" s="126">
        <f t="shared" si="9"/>
        <v>-26690.386473749993</v>
      </c>
      <c r="L21" s="126">
        <f t="shared" si="9"/>
        <v>-26690.386473749993</v>
      </c>
      <c r="M21" s="126">
        <f t="shared" si="9"/>
        <v>-26690.386473749993</v>
      </c>
      <c r="N21" s="126">
        <f t="shared" si="9"/>
        <v>-26690.386473749993</v>
      </c>
      <c r="O21" s="126">
        <f t="shared" si="9"/>
        <v>-26690.386473749993</v>
      </c>
    </row>
    <row r="22" spans="2:15" ht="9" customHeight="1">
      <c r="B22" s="127" t="s">
        <v>196</v>
      </c>
      <c r="C22" s="139"/>
      <c r="D22" s="128"/>
      <c r="E22" s="129">
        <f>SUM(E20:E21)</f>
        <v>0</v>
      </c>
      <c r="F22" s="129">
        <f t="shared" ref="F22:O22" si="10">SUM(F20:F21)</f>
        <v>0</v>
      </c>
      <c r="G22" s="129">
        <f t="shared" si="10"/>
        <v>0</v>
      </c>
      <c r="H22" s="129">
        <f t="shared" si="10"/>
        <v>-40297.250166249993</v>
      </c>
      <c r="I22" s="129">
        <f t="shared" si="10"/>
        <v>-49194.045657499984</v>
      </c>
      <c r="J22" s="129">
        <f t="shared" si="10"/>
        <v>-58090.841148749983</v>
      </c>
      <c r="K22" s="129">
        <f t="shared" si="10"/>
        <v>-58090.841148749983</v>
      </c>
      <c r="L22" s="129">
        <f t="shared" si="10"/>
        <v>-58090.841148749983</v>
      </c>
      <c r="M22" s="129">
        <f t="shared" si="10"/>
        <v>-58090.841148749983</v>
      </c>
      <c r="N22" s="129">
        <f t="shared" si="10"/>
        <v>-58090.841148749983</v>
      </c>
      <c r="O22" s="129">
        <f t="shared" si="10"/>
        <v>-58090.841148749983</v>
      </c>
    </row>
    <row r="23" spans="2:15" ht="9" customHeight="1">
      <c r="B23" s="121"/>
      <c r="C23" s="139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2:15" ht="9" customHeight="1">
      <c r="B24" s="121" t="s">
        <v>277</v>
      </c>
      <c r="C24" s="139"/>
      <c r="D24" s="117"/>
      <c r="E24" s="252">
        <v>0</v>
      </c>
      <c r="F24" s="253">
        <f>-('acq-demo-repur'!U8+'acq-demo-repur'!U7)</f>
        <v>-19452928.398285329</v>
      </c>
      <c r="G24" s="252">
        <v>0</v>
      </c>
      <c r="H24" s="252">
        <v>0</v>
      </c>
      <c r="I24" s="252">
        <v>0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252">
        <v>0</v>
      </c>
    </row>
    <row r="25" spans="2:15" ht="9" customHeight="1">
      <c r="B25" s="121" t="s">
        <v>280</v>
      </c>
      <c r="C25" s="139"/>
      <c r="D25" s="117"/>
      <c r="E25" s="252">
        <v>0</v>
      </c>
      <c r="F25" s="252">
        <v>0</v>
      </c>
      <c r="G25" s="247">
        <f>-'acq-demo-repur'!S8</f>
        <v>-850500</v>
      </c>
      <c r="H25" s="252">
        <v>0</v>
      </c>
      <c r="I25" s="252">
        <v>0</v>
      </c>
      <c r="J25" s="252">
        <v>0</v>
      </c>
      <c r="K25" s="252">
        <v>0</v>
      </c>
      <c r="L25" s="252">
        <v>0</v>
      </c>
      <c r="M25" s="252">
        <v>0</v>
      </c>
      <c r="N25" s="252">
        <v>0</v>
      </c>
      <c r="O25" s="252">
        <v>0</v>
      </c>
    </row>
    <row r="26" spans="2:15" ht="9" customHeight="1">
      <c r="B26" s="121" t="s">
        <v>171</v>
      </c>
      <c r="C26" s="139"/>
      <c r="D26" s="124">
        <f>(OfficeconstructionratePSF*(1-$K5))+((OfficeconstructionratePSF*(1+premiumprices)*$K5))</f>
        <v>138.31388701369627</v>
      </c>
      <c r="E26" s="125">
        <f>-IF(OR(E$2=$H5,E$2=$H6,AND(E$2&gt;$H5,E$2&lt;$H6)),(INDEX(summary!$A$2:$D$24,MATCH($D6,summary!$A$2:$A$24,0),MATCH($D5,summary!$A$2:$D$2,0)))/Constructiontime)*($D26*((1+Inflation)^(E$2-1)))*(1+Developerfee)</f>
        <v>0</v>
      </c>
      <c r="F26" s="125">
        <f>-IF(OR(F$2=$H5,F$2=$H6,AND(F$2&gt;$H5,F$2&lt;$H6)),(INDEX(summary!$A$2:$D$24,MATCH($D6,summary!$A$2:$A$24,0),MATCH($D5,summary!$A$2:$D$2,0)))/Constructiontime)*($D26*((1+Inflation)^(F$2-1)))*(1+Developerfee)</f>
        <v>-48013277.024812482</v>
      </c>
      <c r="G26" s="125">
        <f>-IF(OR(G$2=$H5,G$2=$H6,AND(G$2&gt;$H5,G$2&lt;$H6)),(INDEX(summary!$A$2:$D$24,MATCH($D6,summary!$A$2:$A$24,0),MATCH($D5,summary!$A$2:$D$2,0)))/Constructiontime)*($D26*((1+Inflation)^(G$2-1)))*(1+Developerfee)</f>
        <v>-48973542.565308727</v>
      </c>
      <c r="H26" s="125">
        <f>-IF(OR(H$2=$H5,H$2=$H6,AND(H$2&gt;$H5,H$2&lt;$H6)),(INDEX(summary!$A$2:$D$24,MATCH($D6,summary!$A$2:$A$24,0),MATCH($D5,summary!$A$2:$D$2,0)))/Constructiontime)*($D26*((1+Inflation)^(H$2-1)))*(1+Developerfee)</f>
        <v>0</v>
      </c>
      <c r="I26" s="125">
        <f>-IF(OR(I$2=$H5,I$2=$H6,AND(I$2&gt;$H5,I$2&lt;$H6)),(INDEX(summary!$A$2:$D$24,MATCH($D6,summary!$A$2:$A$24,0),MATCH($D5,summary!$A$2:$D$2,0)))/Constructiontime)*($D26*((1+Inflation)^(I$2-1)))*(1+Developerfee)</f>
        <v>0</v>
      </c>
      <c r="J26" s="125">
        <f>-IF(OR(J$2=$H5,J$2=$H6,AND(J$2&gt;$H5,J$2&lt;$H6)),(INDEX(summary!$A$2:$D$24,MATCH($D6,summary!$A$2:$A$24,0),MATCH($D5,summary!$A$2:$D$2,0)))/Constructiontime)*($D26*((1+Inflation)^(J$2-1)))*(1+Developerfee)</f>
        <v>0</v>
      </c>
      <c r="K26" s="125">
        <f>-IF(OR(K$2=$H5,K$2=$H6,AND(K$2&gt;$H5,K$2&lt;$H6)),(INDEX(summary!$A$2:$D$24,MATCH($D6,summary!$A$2:$A$24,0),MATCH($D5,summary!$A$2:$D$2,0)))/Constructiontime)*($D26*((1+Inflation)^(K$2-1)))*(1+Developerfee)</f>
        <v>0</v>
      </c>
      <c r="L26" s="125">
        <f>-IF(OR(L$2=$H5,L$2=$H6,AND(L$2&gt;$H5,L$2&lt;$H6)),(INDEX(summary!$A$2:$D$24,MATCH($D6,summary!$A$2:$A$24,0),MATCH($D5,summary!$A$2:$D$2,0)))/Constructiontime)*($D26*((1+Inflation)^(L$2-1)))*(1+Developerfee)</f>
        <v>0</v>
      </c>
      <c r="M26" s="125">
        <f>-IF(OR(M$2=$H5,M$2=$H6,AND(M$2&gt;$H5,M$2&lt;$H6)),(INDEX(summary!$A$2:$D$24,MATCH($D6,summary!$A$2:$A$24,0),MATCH($D5,summary!$A$2:$D$2,0)))/Constructiontime)*($D26*((1+Inflation)^(M$2-1)))*(1+Developerfee)</f>
        <v>0</v>
      </c>
      <c r="N26" s="125">
        <f>-IF(OR(N$2=$H5,N$2=$H6,AND(N$2&gt;$H5,N$2&lt;$H6)),(INDEX(summary!$A$2:$D$24,MATCH($D6,summary!$A$2:$A$24,0),MATCH($D5,summary!$A$2:$D$2,0)))/Constructiontime)*($D26*((1+Inflation)^(N$2-1)))*(1+Developerfee)</f>
        <v>0</v>
      </c>
      <c r="O26" s="125">
        <f>-IF(OR(O$2=$H5,O$2=$H6,AND(O$2&gt;$H5,O$2&lt;$H6)),(INDEX(summary!$A$2:$D$24,MATCH($D6,summary!$A$2:$A$24,0),MATCH($D5,summary!$A$2:$D$2,0)))/Constructiontime)*($D26*((1+Inflation)^(O$2-1)))*(1+Developerfee)</f>
        <v>0</v>
      </c>
    </row>
    <row r="27" spans="2:15" ht="9" customHeight="1">
      <c r="B27" s="121" t="s">
        <v>198</v>
      </c>
      <c r="C27" s="139" t="s">
        <v>190</v>
      </c>
      <c r="D27" s="138">
        <f>(INDEX(cockpit!$J$6:$X$16,MATCH($D6,cockpit!$J$6:$J$16,0),MATCH($C27,cockpit!$J$6:$X$6,0))*(1-$K5))+((INDEX(cockpit!$J$6:$X$16,MATCH($D6,cockpit!$J$6:$J$16,0),MATCH($C27,cockpit!$J$6:$X$6,0))-(Premiumexitcaprate))*$K5)</f>
        <v>8.4386317219685869E-2</v>
      </c>
      <c r="E27" s="126">
        <f t="shared" ref="E27:O27" si="11">IF(E$2=dispositionyear,E18/$D27,0)*(1-Closingcosts)</f>
        <v>0</v>
      </c>
      <c r="F27" s="126">
        <f t="shared" si="11"/>
        <v>0</v>
      </c>
      <c r="G27" s="126">
        <f t="shared" si="11"/>
        <v>0</v>
      </c>
      <c r="H27" s="126">
        <f t="shared" si="11"/>
        <v>0</v>
      </c>
      <c r="I27" s="126">
        <f t="shared" si="11"/>
        <v>0</v>
      </c>
      <c r="J27" s="126">
        <f t="shared" si="11"/>
        <v>0</v>
      </c>
      <c r="K27" s="126">
        <f t="shared" si="11"/>
        <v>0</v>
      </c>
      <c r="L27" s="126">
        <f t="shared" si="11"/>
        <v>0</v>
      </c>
      <c r="M27" s="126">
        <f t="shared" si="11"/>
        <v>0</v>
      </c>
      <c r="N27" s="126">
        <f t="shared" si="11"/>
        <v>0</v>
      </c>
      <c r="O27" s="126">
        <f t="shared" si="11"/>
        <v>226554273.3215884</v>
      </c>
    </row>
    <row r="28" spans="2:15" ht="9" customHeight="1">
      <c r="B28" s="127" t="s">
        <v>197</v>
      </c>
      <c r="C28" s="139"/>
      <c r="D28" s="123"/>
      <c r="E28" s="129">
        <f>SUM(E24:E27)</f>
        <v>0</v>
      </c>
      <c r="F28" s="129">
        <f t="shared" ref="F28:O28" si="12">SUM(F24:F27)</f>
        <v>-67466205.423097819</v>
      </c>
      <c r="G28" s="129">
        <f t="shared" si="12"/>
        <v>-49824042.565308727</v>
      </c>
      <c r="H28" s="129">
        <f t="shared" si="12"/>
        <v>0</v>
      </c>
      <c r="I28" s="129">
        <f t="shared" si="12"/>
        <v>0</v>
      </c>
      <c r="J28" s="129">
        <f t="shared" si="12"/>
        <v>0</v>
      </c>
      <c r="K28" s="129">
        <f t="shared" si="12"/>
        <v>0</v>
      </c>
      <c r="L28" s="129">
        <f t="shared" si="12"/>
        <v>0</v>
      </c>
      <c r="M28" s="129">
        <f t="shared" si="12"/>
        <v>0</v>
      </c>
      <c r="N28" s="129">
        <f t="shared" si="12"/>
        <v>0</v>
      </c>
      <c r="O28" s="129">
        <f t="shared" si="12"/>
        <v>226554273.3215884</v>
      </c>
    </row>
    <row r="29" spans="2:15" ht="9" customHeight="1">
      <c r="B29" s="121"/>
      <c r="C29" s="139"/>
      <c r="D29" s="123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</row>
    <row r="30" spans="2:15" ht="9" customHeight="1">
      <c r="B30" s="127" t="s">
        <v>170</v>
      </c>
      <c r="C30" s="127"/>
      <c r="D30" s="130">
        <f ca="1">IRR(OFFSET(E30,0,0,1,Investmenthorizon+1))</f>
        <v>0.16651577632156234</v>
      </c>
      <c r="E30" s="131">
        <f>SUM(E18,E22,E28)</f>
        <v>0</v>
      </c>
      <c r="F30" s="131">
        <f t="shared" ref="F30:O30" si="13">SUM(F18,F22,F28)</f>
        <v>-67466205.423097819</v>
      </c>
      <c r="G30" s="131">
        <f t="shared" si="13"/>
        <v>-49824042.565308727</v>
      </c>
      <c r="H30" s="131">
        <f t="shared" si="13"/>
        <v>5649767.6438856935</v>
      </c>
      <c r="I30" s="131">
        <f t="shared" si="13"/>
        <v>11558538.338208463</v>
      </c>
      <c r="J30" s="131">
        <f t="shared" si="13"/>
        <v>17701739.706166178</v>
      </c>
      <c r="K30" s="131">
        <f t="shared" si="13"/>
        <v>18056936.317112476</v>
      </c>
      <c r="L30" s="131">
        <f t="shared" si="13"/>
        <v>18419236.860277705</v>
      </c>
      <c r="M30" s="131">
        <f t="shared" si="13"/>
        <v>18788783.414306231</v>
      </c>
      <c r="N30" s="131">
        <f t="shared" si="13"/>
        <v>19165720.899415337</v>
      </c>
      <c r="O30" s="131">
        <f t="shared" si="13"/>
        <v>246104470.45581502</v>
      </c>
    </row>
    <row r="31" spans="2:15" ht="9" customHeight="1" thickBot="1"/>
    <row r="32" spans="2:15" ht="9" customHeight="1">
      <c r="B32" s="144" t="s">
        <v>199</v>
      </c>
      <c r="C32" s="145"/>
      <c r="D32" s="145"/>
      <c r="E32" s="156"/>
      <c r="F32" s="157"/>
      <c r="G32" s="157"/>
      <c r="H32" s="157"/>
      <c r="I32" s="157"/>
      <c r="J32" s="157"/>
      <c r="K32" s="146"/>
      <c r="L32" s="119"/>
      <c r="M32" s="119"/>
      <c r="N32" s="119"/>
      <c r="O32" s="119"/>
    </row>
    <row r="33" spans="2:15" ht="9" customHeight="1">
      <c r="B33" s="147" t="s">
        <v>89</v>
      </c>
      <c r="C33" s="142"/>
      <c r="D33" s="155">
        <v>2</v>
      </c>
      <c r="E33" s="140"/>
      <c r="F33" s="140"/>
      <c r="G33" s="141" t="s">
        <v>205</v>
      </c>
      <c r="H33" s="161">
        <f>Phase2begin</f>
        <v>3</v>
      </c>
      <c r="I33" s="140"/>
      <c r="J33" s="141" t="s">
        <v>202</v>
      </c>
      <c r="K33" s="158">
        <f>summary!AH15</f>
        <v>0.41598787837373857</v>
      </c>
      <c r="L33" s="117"/>
      <c r="M33" s="117"/>
      <c r="N33" s="117"/>
      <c r="O33" s="117"/>
    </row>
    <row r="34" spans="2:15" ht="9" customHeight="1">
      <c r="B34" s="147" t="s">
        <v>94</v>
      </c>
      <c r="C34" s="142"/>
      <c r="D34" s="152" t="s">
        <v>110</v>
      </c>
      <c r="E34" s="140"/>
      <c r="F34" s="140"/>
      <c r="G34" s="141" t="s">
        <v>206</v>
      </c>
      <c r="H34" s="161">
        <f>Phase2end</f>
        <v>4</v>
      </c>
      <c r="I34" s="140"/>
      <c r="J34" s="140"/>
      <c r="K34" s="148"/>
      <c r="L34" s="117"/>
      <c r="M34" s="117"/>
      <c r="N34" s="117"/>
      <c r="O34" s="117"/>
    </row>
    <row r="35" spans="2:15" ht="9" customHeight="1" thickBot="1">
      <c r="B35" s="159"/>
      <c r="C35" s="160"/>
      <c r="D35" s="160"/>
      <c r="E35" s="160"/>
      <c r="F35" s="160"/>
      <c r="G35" s="150" t="s">
        <v>200</v>
      </c>
      <c r="H35" s="153">
        <f>Phase2open</f>
        <v>5</v>
      </c>
      <c r="I35" s="160"/>
      <c r="J35" s="160"/>
      <c r="K35" s="149"/>
      <c r="L35" s="117"/>
      <c r="M35" s="117"/>
      <c r="N35" s="117"/>
      <c r="O35" s="117"/>
    </row>
    <row r="36" spans="2:15" ht="9" customHeight="1">
      <c r="B36" s="117"/>
      <c r="C36" s="136"/>
      <c r="D36" s="120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2:15" ht="9" customHeight="1">
      <c r="B37" s="121" t="s">
        <v>183</v>
      </c>
      <c r="C37" s="121"/>
      <c r="D37" s="117"/>
      <c r="E37" s="122">
        <f>IF(OR(E$2=$H35,E$2&gt;$H35),INDEX(summary!$A$2:$D$24,MATCH($D34,summary!$A$2:$A$24,0),MATCH($D33,summary!$A$2:$D$2,0)),0)</f>
        <v>0</v>
      </c>
      <c r="F37" s="122">
        <f>IF(OR(F$2=$H35,F$2&gt;$H35),INDEX(summary!$A$2:$D$24,MATCH($D34,summary!$A$2:$A$24,0),MATCH($D33,summary!$A$2:$D$2,0)),0)</f>
        <v>0</v>
      </c>
      <c r="G37" s="122">
        <f>IF(OR(G$2=$H35,G$2&gt;$H35),INDEX(summary!$A$2:$D$24,MATCH($D34,summary!$A$2:$A$24,0),MATCH($D33,summary!$A$2:$D$2,0)),0)</f>
        <v>0</v>
      </c>
      <c r="H37" s="122">
        <f>IF(OR(H$2=$H35,H$2&gt;$H35),INDEX(summary!$A$2:$D$24,MATCH($D34,summary!$A$2:$A$24,0),MATCH($D33,summary!$A$2:$D$2,0)),0)</f>
        <v>0</v>
      </c>
      <c r="I37" s="122">
        <f>IF(OR(I$2=$H35,I$2&gt;$H35),INDEX(summary!$A$2:$D$24,MATCH($D34,summary!$A$2:$A$24,0),MATCH($D33,summary!$A$2:$D$2,0)),0)</f>
        <v>0</v>
      </c>
      <c r="J37" s="122">
        <f>IF(OR(J$2=$H35,J$2&gt;$H35),INDEX(summary!$A$2:$D$24,MATCH($D34,summary!$A$2:$A$24,0),MATCH($D33,summary!$A$2:$D$2,0)),0)</f>
        <v>365869.38950000005</v>
      </c>
      <c r="K37" s="122">
        <f>IF(OR(K$2=$H35,K$2&gt;$H35),INDEX(summary!$A$2:$D$24,MATCH($D34,summary!$A$2:$A$24,0),MATCH($D33,summary!$A$2:$D$2,0)),0)</f>
        <v>365869.38950000005</v>
      </c>
      <c r="L37" s="122">
        <f>IF(OR(L$2=$H35,L$2&gt;$H35),INDEX(summary!$A$2:$D$24,MATCH($D34,summary!$A$2:$A$24,0),MATCH($D33,summary!$A$2:$D$2,0)),0)</f>
        <v>365869.38950000005</v>
      </c>
      <c r="M37" s="122">
        <f>IF(OR(M$2=$H35,M$2&gt;$H35),INDEX(summary!$A$2:$D$24,MATCH($D34,summary!$A$2:$A$24,0),MATCH($D33,summary!$A$2:$D$2,0)),0)</f>
        <v>365869.38950000005</v>
      </c>
      <c r="N37" s="122">
        <f>IF(OR(N$2=$H35,N$2&gt;$H35),INDEX(summary!$A$2:$D$24,MATCH($D34,summary!$A$2:$A$24,0),MATCH($D33,summary!$A$2:$D$2,0)),0)</f>
        <v>365869.38950000005</v>
      </c>
      <c r="O37" s="122">
        <f>IF(OR(O$2=$H35,O$2&gt;$H35),INDEX(summary!$A$2:$D$24,MATCH($D34,summary!$A$2:$A$24,0),MATCH($D33,summary!$A$2:$D$2,0)),0)</f>
        <v>365869.38950000005</v>
      </c>
    </row>
    <row r="38" spans="2:15" ht="9" customHeight="1">
      <c r="B38" s="121" t="s">
        <v>195</v>
      </c>
      <c r="C38" s="137" t="s">
        <v>192</v>
      </c>
      <c r="D38" s="123">
        <f>INDEX(cockpit!$J$6:$X$16,MATCH($D34,cockpit!$J$6:$J$16,0),MATCH($C$11,cockpit!$J$6:$X$6,0))</f>
        <v>0</v>
      </c>
      <c r="E38" s="122">
        <f>E37*(1-$D38)</f>
        <v>0</v>
      </c>
      <c r="F38" s="122">
        <f t="shared" ref="F38" si="14">F37*(1-$D38)</f>
        <v>0</v>
      </c>
      <c r="G38" s="122">
        <f t="shared" ref="G38" si="15">G37*(1-$D38)</f>
        <v>0</v>
      </c>
      <c r="H38" s="122">
        <f t="shared" ref="H38" si="16">H37*(1-$D38)</f>
        <v>0</v>
      </c>
      <c r="I38" s="122">
        <f t="shared" ref="I38" si="17">I37*(1-$D38)</f>
        <v>0</v>
      </c>
      <c r="J38" s="122">
        <f t="shared" ref="J38" si="18">J37*(1-$D38)</f>
        <v>365869.38950000005</v>
      </c>
      <c r="K38" s="122">
        <f t="shared" ref="K38" si="19">K37*(1-$D38)</f>
        <v>365869.38950000005</v>
      </c>
      <c r="L38" s="122">
        <f t="shared" ref="L38" si="20">L37*(1-$D38)</f>
        <v>365869.38950000005</v>
      </c>
      <c r="M38" s="122">
        <f t="shared" ref="M38" si="21">M37*(1-$D38)</f>
        <v>365869.38950000005</v>
      </c>
      <c r="N38" s="122">
        <f t="shared" ref="N38" si="22">N37*(1-$D38)</f>
        <v>365869.38950000005</v>
      </c>
      <c r="O38" s="122">
        <f t="shared" ref="O38" si="23">O37*(1-$D38)</f>
        <v>365869.38950000005</v>
      </c>
    </row>
    <row r="39" spans="2:15" ht="9" customHeight="1">
      <c r="B39" s="121" t="s">
        <v>181</v>
      </c>
      <c r="C39" s="137" t="s">
        <v>153</v>
      </c>
      <c r="D39" s="138">
        <f>Officerampup</f>
        <v>0.28333333333333333</v>
      </c>
      <c r="E39" s="122">
        <f>IF(OR(E$2=$H35,AND(E$2&gt;$H35,E$2&lt;(SUM($H35,INDEX(cockpit!$J$6:$X$16,MATCH($D34,cockpit!$J$6:$J$16,0),MATCH($C$12,cockpit!$J$6:$X$6,0)))))),E38*$D39,0)</f>
        <v>0</v>
      </c>
      <c r="F39" s="122">
        <f>IF(OR(F$2=$H35,AND(F$2&gt;$H35,F$2&lt;(SUM($H35,INDEX(cockpit!$J$6:$X$16,MATCH($D34,cockpit!$J$6:$J$16,0),MATCH($C$12,cockpit!$J$6:$X$6,0)))))),F38*$D39,0)</f>
        <v>0</v>
      </c>
      <c r="G39" s="122">
        <f>IF(OR(G$2=$H35,AND(G$2&gt;$H35,G$2&lt;(SUM($H35,INDEX(cockpit!$J$6:$X$16,MATCH($D34,cockpit!$J$6:$J$16,0),MATCH($C$12,cockpit!$J$6:$X$6,0)))))),G38*$D39,0)</f>
        <v>0</v>
      </c>
      <c r="H39" s="122">
        <f>IF(OR(H$2=$H35,AND(H$2&gt;$H35,H$2&lt;(SUM($H35,INDEX(cockpit!$J$6:$X$16,MATCH($D34,cockpit!$J$6:$J$16,0),MATCH($C$12,cockpit!$J$6:$X$6,0)))))),H38*$D39,0)</f>
        <v>0</v>
      </c>
      <c r="I39" s="122">
        <f>IF(OR(I$2=$H35,AND(I$2&gt;$H35,I$2&lt;(SUM($H35,INDEX(cockpit!$J$6:$X$16,MATCH($D34,cockpit!$J$6:$J$16,0),MATCH($C$12,cockpit!$J$6:$X$6,0)))))),I38*$D39,0)</f>
        <v>0</v>
      </c>
      <c r="J39" s="122">
        <f>IF(OR(J$2=$H35,AND(J$2&gt;$H35,J$2&lt;(SUM($H35,INDEX(cockpit!$J$6:$X$16,MATCH($D34,cockpit!$J$6:$J$16,0),MATCH($C$12,cockpit!$J$6:$X$6,0)))))),J38*$D39,0)</f>
        <v>103662.99369166668</v>
      </c>
      <c r="K39" s="122">
        <f>IF(OR(K$2=$H35,AND(K$2&gt;$H35,K$2&lt;(SUM($H35,INDEX(cockpit!$J$6:$X$16,MATCH($D34,cockpit!$J$6:$J$16,0),MATCH($C$12,cockpit!$J$6:$X$6,0)))))),K38*$D39,0)</f>
        <v>103662.99369166668</v>
      </c>
      <c r="L39" s="122">
        <f>IF(OR(L$2=$H35,AND(L$2&gt;$H35,L$2&lt;(SUM($H35,INDEX(cockpit!$J$6:$X$16,MATCH($D34,cockpit!$J$6:$J$16,0),MATCH($C$12,cockpit!$J$6:$X$6,0)))))),L38*$D39,0)</f>
        <v>103662.99369166668</v>
      </c>
      <c r="M39" s="122">
        <f>IF(OR(M$2=$H35,AND(M$2&gt;$H35,M$2&lt;(SUM($H35,INDEX(cockpit!$J$6:$X$16,MATCH($D34,cockpit!$J$6:$J$16,0),MATCH($C$12,cockpit!$J$6:$X$6,0)))))),M38*$D39,0)</f>
        <v>0</v>
      </c>
      <c r="N39" s="122">
        <f>IF(OR(N$2=$H35,AND(N$2&gt;$H35,N$2&lt;(SUM($H35,INDEX(cockpit!$J$6:$X$16,MATCH($D34,cockpit!$J$6:$J$16,0),MATCH($C$12,cockpit!$J$6:$X$6,0)))))),N38*$D39,0)</f>
        <v>0</v>
      </c>
      <c r="O39" s="122">
        <f>IF(OR(O$2=$H35,AND(O$2&gt;$H35,O$2&lt;(SUM($H35,INDEX(cockpit!$J$6:$X$16,MATCH($D34,cockpit!$J$6:$J$16,0),MATCH($C$12,cockpit!$J$6:$X$6,0)))))),O38*$D39,0)</f>
        <v>0</v>
      </c>
    </row>
    <row r="40" spans="2:15" ht="9" customHeight="1">
      <c r="B40" s="134" t="s">
        <v>182</v>
      </c>
      <c r="C40" s="139"/>
      <c r="D40" s="117"/>
      <c r="E40" s="122">
        <f>SUM($E39:E39)</f>
        <v>0</v>
      </c>
      <c r="F40" s="122">
        <f>SUM($E39:F39)</f>
        <v>0</v>
      </c>
      <c r="G40" s="122">
        <f>SUM($E39:G39)</f>
        <v>0</v>
      </c>
      <c r="H40" s="122">
        <f>SUM($E39:H39)</f>
        <v>0</v>
      </c>
      <c r="I40" s="122">
        <f>SUM($E39:I39)</f>
        <v>0</v>
      </c>
      <c r="J40" s="122">
        <f>SUM($E39:J39)</f>
        <v>103662.99369166668</v>
      </c>
      <c r="K40" s="122">
        <f>SUM($E39:K39)</f>
        <v>207325.98738333335</v>
      </c>
      <c r="L40" s="122">
        <f>SUM($E39:L39)</f>
        <v>310988.98107500002</v>
      </c>
      <c r="M40" s="122">
        <f>SUM($E39:M39)</f>
        <v>310988.98107500002</v>
      </c>
      <c r="N40" s="122">
        <f>SUM($E39:N39)</f>
        <v>310988.98107500002</v>
      </c>
      <c r="O40" s="122">
        <f>SUM($E39:O39)</f>
        <v>310988.98107500002</v>
      </c>
    </row>
    <row r="41" spans="2:15" ht="9" customHeight="1">
      <c r="B41" s="120"/>
      <c r="C41" s="139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2:15" ht="9" customHeight="1">
      <c r="B42" s="134" t="s">
        <v>167</v>
      </c>
      <c r="C42" s="139"/>
      <c r="D42" s="124">
        <f>(OfficemarketratePSF*(1-$K33))+((OfficemarketratePSF*(1+premiumprices)*$K33))</f>
        <v>32.495927270242433</v>
      </c>
      <c r="E42" s="125">
        <f t="shared" ref="E42:O42" si="24">E40*($D42*((1+Inflation)^(E$2-1)))</f>
        <v>0</v>
      </c>
      <c r="F42" s="125">
        <f t="shared" si="24"/>
        <v>0</v>
      </c>
      <c r="G42" s="125">
        <f t="shared" si="24"/>
        <v>0</v>
      </c>
      <c r="H42" s="125">
        <f t="shared" si="24"/>
        <v>0</v>
      </c>
      <c r="I42" s="125">
        <f t="shared" si="24"/>
        <v>0</v>
      </c>
      <c r="J42" s="125">
        <f t="shared" si="24"/>
        <v>3646308.147141621</v>
      </c>
      <c r="K42" s="125">
        <f t="shared" si="24"/>
        <v>7438468.6201689066</v>
      </c>
      <c r="L42" s="125">
        <f t="shared" si="24"/>
        <v>11380856.988858426</v>
      </c>
      <c r="M42" s="125">
        <f t="shared" si="24"/>
        <v>11608474.128635593</v>
      </c>
      <c r="N42" s="125">
        <f t="shared" si="24"/>
        <v>11840643.611208307</v>
      </c>
      <c r="O42" s="125">
        <f t="shared" si="24"/>
        <v>12077456.483432472</v>
      </c>
    </row>
    <row r="43" spans="2:15" ht="9" customHeight="1">
      <c r="B43" s="134" t="s">
        <v>218</v>
      </c>
      <c r="C43" s="139"/>
      <c r="D43" s="124">
        <f>IF(INDEX(cockpit!$J$6:$X$16,MATCH($D34,cockpit!$J$6:$J$16,0),MATCH($B43,cockpit!$J$6:$X$6,0))="Y",D44,0)</f>
        <v>10</v>
      </c>
      <c r="E43" s="125">
        <f>-IF($D43&gt;0,E44,0)</f>
        <v>0</v>
      </c>
      <c r="F43" s="125">
        <f t="shared" ref="F43:O43" si="25">-IF($D43&gt;0,F44,0)</f>
        <v>0</v>
      </c>
      <c r="G43" s="125">
        <f t="shared" si="25"/>
        <v>0</v>
      </c>
      <c r="H43" s="125">
        <f t="shared" si="25"/>
        <v>0</v>
      </c>
      <c r="I43" s="125">
        <f t="shared" si="25"/>
        <v>0</v>
      </c>
      <c r="J43" s="125">
        <f t="shared" si="25"/>
        <v>3960287.9355436633</v>
      </c>
      <c r="K43" s="125">
        <f t="shared" si="25"/>
        <v>4039493.6942545376</v>
      </c>
      <c r="L43" s="125">
        <f t="shared" si="25"/>
        <v>4120283.568139628</v>
      </c>
      <c r="M43" s="125">
        <f t="shared" si="25"/>
        <v>4202689.2395024197</v>
      </c>
      <c r="N43" s="125">
        <f t="shared" si="25"/>
        <v>4286743.0242924681</v>
      </c>
      <c r="O43" s="125">
        <f t="shared" si="25"/>
        <v>4372477.884778318</v>
      </c>
    </row>
    <row r="44" spans="2:15" ht="9" customHeight="1">
      <c r="B44" s="134" t="s">
        <v>124</v>
      </c>
      <c r="C44" s="139"/>
      <c r="D44" s="124">
        <f>INDEX(cockpit!$J$6:$X$16,MATCH($D34,cockpit!$J$6:$J$16,0),MATCH($B44,cockpit!$J$6:$X$6,0))</f>
        <v>10</v>
      </c>
      <c r="E44" s="126">
        <f t="shared" ref="E44:O44" si="26">-IF($D44&gt;1,E37*($D44*((1+Inflation)^(E$2-1))),E42*(1-$D44))</f>
        <v>0</v>
      </c>
      <c r="F44" s="126">
        <f t="shared" si="26"/>
        <v>0</v>
      </c>
      <c r="G44" s="126">
        <f t="shared" si="26"/>
        <v>0</v>
      </c>
      <c r="H44" s="126">
        <f t="shared" si="26"/>
        <v>0</v>
      </c>
      <c r="I44" s="126">
        <f t="shared" si="26"/>
        <v>0</v>
      </c>
      <c r="J44" s="126">
        <f t="shared" si="26"/>
        <v>-3960287.9355436633</v>
      </c>
      <c r="K44" s="126">
        <f t="shared" si="26"/>
        <v>-4039493.6942545376</v>
      </c>
      <c r="L44" s="126">
        <f t="shared" si="26"/>
        <v>-4120283.568139628</v>
      </c>
      <c r="M44" s="126">
        <f t="shared" si="26"/>
        <v>-4202689.2395024197</v>
      </c>
      <c r="N44" s="126">
        <f t="shared" si="26"/>
        <v>-4286743.0242924681</v>
      </c>
      <c r="O44" s="126">
        <f t="shared" si="26"/>
        <v>-4372477.884778318</v>
      </c>
    </row>
    <row r="45" spans="2:15" ht="9" customHeight="1">
      <c r="B45" s="135" t="s">
        <v>168</v>
      </c>
      <c r="C45" s="139"/>
      <c r="D45" s="117"/>
      <c r="E45" s="125">
        <f>SUM(E42:E44)</f>
        <v>0</v>
      </c>
      <c r="F45" s="125">
        <f t="shared" ref="F45" si="27">SUM(F42:F44)</f>
        <v>0</v>
      </c>
      <c r="G45" s="125">
        <f t="shared" ref="G45" si="28">SUM(G42:G44)</f>
        <v>0</v>
      </c>
      <c r="H45" s="125">
        <f t="shared" ref="H45" si="29">SUM(H42:H44)</f>
        <v>0</v>
      </c>
      <c r="I45" s="125">
        <f t="shared" ref="I45" si="30">SUM(I42:I44)</f>
        <v>0</v>
      </c>
      <c r="J45" s="125">
        <f t="shared" ref="J45" si="31">SUM(J42:J44)</f>
        <v>3646308.147141621</v>
      </c>
      <c r="K45" s="125">
        <f t="shared" ref="K45" si="32">SUM(K42:K44)</f>
        <v>7438468.6201689057</v>
      </c>
      <c r="L45" s="125">
        <f t="shared" ref="L45" si="33">SUM(L42:L44)</f>
        <v>11380856.988858426</v>
      </c>
      <c r="M45" s="125">
        <f t="shared" ref="M45" si="34">SUM(M42:M44)</f>
        <v>11608474.128635593</v>
      </c>
      <c r="N45" s="125">
        <f t="shared" ref="N45" si="35">SUM(N42:N44)</f>
        <v>11840643.611208305</v>
      </c>
      <c r="O45" s="125">
        <f t="shared" ref="O45" si="36">SUM(O42:O44)</f>
        <v>12077456.483432472</v>
      </c>
    </row>
    <row r="46" spans="2:15" ht="9" customHeight="1">
      <c r="B46" s="117"/>
      <c r="C46" s="139"/>
      <c r="D46" s="117"/>
      <c r="E46" s="217">
        <f t="shared" ref="E46:O46" si="37">IFERROR(E45/SUM(E42:E43),0)</f>
        <v>0</v>
      </c>
      <c r="F46" s="217">
        <f t="shared" si="37"/>
        <v>0</v>
      </c>
      <c r="G46" s="217">
        <f t="shared" si="37"/>
        <v>0</v>
      </c>
      <c r="H46" s="217">
        <f t="shared" si="37"/>
        <v>0</v>
      </c>
      <c r="I46" s="217">
        <f t="shared" si="37"/>
        <v>0</v>
      </c>
      <c r="J46" s="217">
        <f t="shared" si="37"/>
        <v>0.47936134737607883</v>
      </c>
      <c r="K46" s="217">
        <f t="shared" si="37"/>
        <v>0.64806525900695566</v>
      </c>
      <c r="L46" s="217">
        <f t="shared" si="37"/>
        <v>0.73419481276301901</v>
      </c>
      <c r="M46" s="217">
        <f t="shared" si="37"/>
        <v>0.73419481276301901</v>
      </c>
      <c r="N46" s="217">
        <f t="shared" si="37"/>
        <v>0.7341948127630189</v>
      </c>
      <c r="O46" s="217">
        <f t="shared" si="37"/>
        <v>0.73419481276301901</v>
      </c>
    </row>
    <row r="47" spans="2:15" ht="9" customHeight="1">
      <c r="B47" s="121" t="s">
        <v>169</v>
      </c>
      <c r="C47" s="139"/>
      <c r="D47" s="128">
        <f>INDEX(cockpit!$J$6:$X$16,MATCH($D34,cockpit!$J$6:$J$16,0),MATCH($B47,cockpit!$J$6:$X$6,0))</f>
        <v>0.05</v>
      </c>
      <c r="E47" s="125">
        <f>-E38*$D47</f>
        <v>0</v>
      </c>
      <c r="F47" s="125">
        <f t="shared" ref="F47:O47" si="38">-F38*$D47</f>
        <v>0</v>
      </c>
      <c r="G47" s="125">
        <f t="shared" si="38"/>
        <v>0</v>
      </c>
      <c r="H47" s="125">
        <f t="shared" si="38"/>
        <v>0</v>
      </c>
      <c r="I47" s="125">
        <f t="shared" si="38"/>
        <v>0</v>
      </c>
      <c r="J47" s="125">
        <f t="shared" si="38"/>
        <v>-18293.469475000002</v>
      </c>
      <c r="K47" s="125">
        <f t="shared" si="38"/>
        <v>-18293.469475000002</v>
      </c>
      <c r="L47" s="125">
        <f t="shared" si="38"/>
        <v>-18293.469475000002</v>
      </c>
      <c r="M47" s="125">
        <f t="shared" si="38"/>
        <v>-18293.469475000002</v>
      </c>
      <c r="N47" s="125">
        <f t="shared" si="38"/>
        <v>-18293.469475000002</v>
      </c>
      <c r="O47" s="125">
        <f t="shared" si="38"/>
        <v>-18293.469475000002</v>
      </c>
    </row>
    <row r="48" spans="2:15" ht="9" customHeight="1">
      <c r="B48" s="121" t="s">
        <v>163</v>
      </c>
      <c r="C48" s="139"/>
      <c r="D48" s="128">
        <f>INDEX(cockpit!$J$6:$X$16,MATCH($D34,cockpit!$J$6:$J$16,0),MATCH($B48,cockpit!$J$6:$X$6,0))</f>
        <v>0.05</v>
      </c>
      <c r="E48" s="126">
        <f>-E40*$D48</f>
        <v>0</v>
      </c>
      <c r="F48" s="126">
        <f t="shared" ref="F48:O48" si="39">-F40*$D48</f>
        <v>0</v>
      </c>
      <c r="G48" s="126">
        <f t="shared" si="39"/>
        <v>0</v>
      </c>
      <c r="H48" s="126">
        <f t="shared" si="39"/>
        <v>0</v>
      </c>
      <c r="I48" s="126">
        <f t="shared" si="39"/>
        <v>0</v>
      </c>
      <c r="J48" s="126">
        <f t="shared" si="39"/>
        <v>-5183.1496845833344</v>
      </c>
      <c r="K48" s="126">
        <f t="shared" si="39"/>
        <v>-10366.299369166669</v>
      </c>
      <c r="L48" s="126">
        <f t="shared" si="39"/>
        <v>-15549.449053750002</v>
      </c>
      <c r="M48" s="126">
        <f t="shared" si="39"/>
        <v>-15549.449053750002</v>
      </c>
      <c r="N48" s="126">
        <f t="shared" si="39"/>
        <v>-15549.449053750002</v>
      </c>
      <c r="O48" s="126">
        <f t="shared" si="39"/>
        <v>-15549.449053750002</v>
      </c>
    </row>
    <row r="49" spans="2:15" ht="9" customHeight="1">
      <c r="B49" s="127" t="s">
        <v>196</v>
      </c>
      <c r="C49" s="139"/>
      <c r="D49" s="128"/>
      <c r="E49" s="129">
        <f>SUM(E47:E48)</f>
        <v>0</v>
      </c>
      <c r="F49" s="129">
        <f t="shared" ref="F49" si="40">SUM(F47:F48)</f>
        <v>0</v>
      </c>
      <c r="G49" s="129">
        <f t="shared" ref="G49" si="41">SUM(G47:G48)</f>
        <v>0</v>
      </c>
      <c r="H49" s="129">
        <f t="shared" ref="H49" si="42">SUM(H47:H48)</f>
        <v>0</v>
      </c>
      <c r="I49" s="129">
        <f t="shared" ref="I49" si="43">SUM(I47:I48)</f>
        <v>0</v>
      </c>
      <c r="J49" s="129">
        <f t="shared" ref="J49" si="44">SUM(J47:J48)</f>
        <v>-23476.619159583337</v>
      </c>
      <c r="K49" s="129">
        <f t="shared" ref="K49" si="45">SUM(K47:K48)</f>
        <v>-28659.768844166669</v>
      </c>
      <c r="L49" s="129">
        <f t="shared" ref="L49" si="46">SUM(L47:L48)</f>
        <v>-33842.91852875</v>
      </c>
      <c r="M49" s="129">
        <f t="shared" ref="M49" si="47">SUM(M47:M48)</f>
        <v>-33842.91852875</v>
      </c>
      <c r="N49" s="129">
        <f t="shared" ref="N49" si="48">SUM(N47:N48)</f>
        <v>-33842.91852875</v>
      </c>
      <c r="O49" s="129">
        <f t="shared" ref="O49" si="49">SUM(O47:O48)</f>
        <v>-33842.91852875</v>
      </c>
    </row>
    <row r="50" spans="2:15" ht="9" customHeight="1">
      <c r="B50" s="121"/>
      <c r="C50" s="139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2:15" ht="9" customHeight="1">
      <c r="B51" s="121" t="s">
        <v>171</v>
      </c>
      <c r="C51" s="139"/>
      <c r="D51" s="124">
        <f>(OfficeconstructionratePSF*(1-$K33))+((OfficeconstructionratePSF*(1+premiumprices)*$K33))</f>
        <v>146.23167271609094</v>
      </c>
      <c r="E51" s="125">
        <f>-IF(OR(E$2=$H33,E$2=$H34,AND(E$2&gt;$H33,E$2&lt;$H34)),(INDEX(summary!$A$2:$D$24,MATCH($D34,summary!$A$2:$A$24,0),MATCH($D33,summary!$A$2:$D$2,0)))/Constructiontime)*($D51*((1+Inflation)^(E$2-1)))*(1+Developerfee)</f>
        <v>0</v>
      </c>
      <c r="F51" s="125">
        <f>-IF(OR(F$2=$H33,F$2=$H34,AND(F$2&gt;$H33,F$2&lt;$H34)),(INDEX(summary!$A$2:$D$24,MATCH($D34,summary!$A$2:$A$24,0),MATCH($D33,summary!$A$2:$D$2,0)))/Constructiontime)*($D51*((1+Inflation)^(F$2-1)))*(1+Developerfee)</f>
        <v>0</v>
      </c>
      <c r="G51" s="125">
        <f>-IF(OR(G$2=$H33,G$2=$H34,AND(G$2&gt;$H33,G$2&lt;$H34)),(INDEX(summary!$A$2:$D$24,MATCH($D34,summary!$A$2:$A$24,0),MATCH($D33,summary!$A$2:$D$2,0)))/Constructiontime)*($D51*((1+Inflation)^(G$2-1)))*(1+Developerfee)</f>
        <v>0</v>
      </c>
      <c r="H51" s="125">
        <f>-IF(OR(H$2=$H33,H$2=$H34,AND(H$2&gt;$H33,H$2&lt;$H34)),(INDEX(summary!$A$2:$D$24,MATCH($D34,summary!$A$2:$A$24,0),MATCH($D33,summary!$A$2:$D$2,0)))/Constructiontime)*($D51*((1+Inflation)^(H$2-1)))*(1+Developerfee)</f>
        <v>-32006317.697024707</v>
      </c>
      <c r="I51" s="125">
        <f>-IF(OR(I$2=$H33,I$2=$H34,AND(I$2&gt;$H33,I$2&lt;$H34)),(INDEX(summary!$A$2:$D$24,MATCH($D34,summary!$A$2:$A$24,0),MATCH($D33,summary!$A$2:$D$2,0)))/Constructiontime)*($D51*((1+Inflation)^(I$2-1)))*(1+Developerfee)</f>
        <v>-32646444.050965201</v>
      </c>
      <c r="J51" s="125">
        <f>-IF(OR(J$2=$H33,J$2=$H34,AND(J$2&gt;$H33,J$2&lt;$H34)),(INDEX(summary!$A$2:$D$24,MATCH($D34,summary!$A$2:$A$24,0),MATCH($D33,summary!$A$2:$D$2,0)))/Constructiontime)*($D51*((1+Inflation)^(J$2-1)))*(1+Developerfee)</f>
        <v>0</v>
      </c>
      <c r="K51" s="125">
        <f>-IF(OR(K$2=$H33,K$2=$H34,AND(K$2&gt;$H33,K$2&lt;$H34)),(INDEX(summary!$A$2:$D$24,MATCH($D34,summary!$A$2:$A$24,0),MATCH($D33,summary!$A$2:$D$2,0)))/Constructiontime)*($D51*((1+Inflation)^(K$2-1)))*(1+Developerfee)</f>
        <v>0</v>
      </c>
      <c r="L51" s="125">
        <f>-IF(OR(L$2=$H33,L$2=$H34,AND(L$2&gt;$H33,L$2&lt;$H34)),(INDEX(summary!$A$2:$D$24,MATCH($D34,summary!$A$2:$A$24,0),MATCH($D33,summary!$A$2:$D$2,0)))/Constructiontime)*($D51*((1+Inflation)^(L$2-1)))*(1+Developerfee)</f>
        <v>0</v>
      </c>
      <c r="M51" s="125">
        <f>-IF(OR(M$2=$H33,M$2=$H34,AND(M$2&gt;$H33,M$2&lt;$H34)),(INDEX(summary!$A$2:$D$24,MATCH($D34,summary!$A$2:$A$24,0),MATCH($D33,summary!$A$2:$D$2,0)))/Constructiontime)*($D51*((1+Inflation)^(M$2-1)))*(1+Developerfee)</f>
        <v>0</v>
      </c>
      <c r="N51" s="125">
        <f>-IF(OR(N$2=$H33,N$2=$H34,AND(N$2&gt;$H33,N$2&lt;$H34)),(INDEX(summary!$A$2:$D$24,MATCH($D34,summary!$A$2:$A$24,0),MATCH($D33,summary!$A$2:$D$2,0)))/Constructiontime)*($D51*((1+Inflation)^(N$2-1)))*(1+Developerfee)</f>
        <v>0</v>
      </c>
      <c r="O51" s="125">
        <f>-IF(OR(O$2=$H33,O$2=$H34,AND(O$2&gt;$H33,O$2&lt;$H34)),(INDEX(summary!$A$2:$D$24,MATCH($D34,summary!$A$2:$A$24,0),MATCH($D33,summary!$A$2:$D$2,0)))/Constructiontime)*($D51*((1+Inflation)^(O$2-1)))*(1+Developerfee)</f>
        <v>0</v>
      </c>
    </row>
    <row r="52" spans="2:15" ht="9" customHeight="1">
      <c r="B52" s="121" t="s">
        <v>198</v>
      </c>
      <c r="C52" s="139" t="s">
        <v>190</v>
      </c>
      <c r="D52" s="138">
        <f>(INDEX(cockpit!$J$6:$X$16,MATCH($D34,cockpit!$J$6:$J$16,0),MATCH($C52,cockpit!$J$6:$X$6,0))*(1-$K33))+((INDEX(cockpit!$J$6:$X$16,MATCH($D34,cockpit!$J$6:$J$16,0),MATCH($C52,cockpit!$J$6:$X$6,0))-(Premiumexitcaprate))*$K33)</f>
        <v>8.2920060608131313E-2</v>
      </c>
      <c r="E52" s="126">
        <f t="shared" ref="E52:O52" si="50">IF(E$2=dispositionyear,E45/$D52,0)*(1-Closingcosts)</f>
        <v>0</v>
      </c>
      <c r="F52" s="126">
        <f t="shared" si="50"/>
        <v>0</v>
      </c>
      <c r="G52" s="126">
        <f t="shared" si="50"/>
        <v>0</v>
      </c>
      <c r="H52" s="126">
        <f t="shared" si="50"/>
        <v>0</v>
      </c>
      <c r="I52" s="126">
        <f t="shared" si="50"/>
        <v>0</v>
      </c>
      <c r="J52" s="126">
        <f t="shared" si="50"/>
        <v>0</v>
      </c>
      <c r="K52" s="126">
        <f t="shared" si="50"/>
        <v>0</v>
      </c>
      <c r="L52" s="126">
        <f t="shared" si="50"/>
        <v>0</v>
      </c>
      <c r="M52" s="126">
        <f t="shared" si="50"/>
        <v>0</v>
      </c>
      <c r="N52" s="126">
        <f t="shared" si="50"/>
        <v>0</v>
      </c>
      <c r="O52" s="126">
        <f t="shared" si="50"/>
        <v>142010509.70037434</v>
      </c>
    </row>
    <row r="53" spans="2:15" ht="9" customHeight="1">
      <c r="B53" s="127" t="s">
        <v>197</v>
      </c>
      <c r="C53" s="139"/>
      <c r="D53" s="123"/>
      <c r="E53" s="129">
        <f>SUM(E51:E52)</f>
        <v>0</v>
      </c>
      <c r="F53" s="129">
        <f t="shared" ref="F53" si="51">SUM(F51:F52)</f>
        <v>0</v>
      </c>
      <c r="G53" s="129">
        <f t="shared" ref="G53" si="52">SUM(G51:G52)</f>
        <v>0</v>
      </c>
      <c r="H53" s="129">
        <f t="shared" ref="H53" si="53">SUM(H51:H52)</f>
        <v>-32006317.697024707</v>
      </c>
      <c r="I53" s="129">
        <f t="shared" ref="I53" si="54">SUM(I51:I52)</f>
        <v>-32646444.050965201</v>
      </c>
      <c r="J53" s="129">
        <f t="shared" ref="J53" si="55">SUM(J51:J52)</f>
        <v>0</v>
      </c>
      <c r="K53" s="129">
        <f t="shared" ref="K53" si="56">SUM(K51:K52)</f>
        <v>0</v>
      </c>
      <c r="L53" s="129">
        <f t="shared" ref="L53" si="57">SUM(L51:L52)</f>
        <v>0</v>
      </c>
      <c r="M53" s="129">
        <f t="shared" ref="M53" si="58">SUM(M51:M52)</f>
        <v>0</v>
      </c>
      <c r="N53" s="129">
        <f t="shared" ref="N53" si="59">SUM(N51:N52)</f>
        <v>0</v>
      </c>
      <c r="O53" s="129">
        <f t="shared" ref="O53" si="60">SUM(O51:O52)</f>
        <v>142010509.70037434</v>
      </c>
    </row>
    <row r="54" spans="2:15" ht="9" customHeight="1">
      <c r="B54" s="121"/>
      <c r="C54" s="139"/>
      <c r="D54" s="123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</row>
    <row r="55" spans="2:15" ht="9" customHeight="1">
      <c r="B55" s="127" t="s">
        <v>170</v>
      </c>
      <c r="C55" s="127"/>
      <c r="D55" s="130">
        <f ca="1">IRR(OFFSET(E55,0,0,1,Investmenthorizon+1))</f>
        <v>0.2163673822026817</v>
      </c>
      <c r="E55" s="131">
        <f>SUM(E45,E49,E53)</f>
        <v>0</v>
      </c>
      <c r="F55" s="131">
        <f t="shared" ref="F55:O55" si="61">SUM(F45,F49,F53)</f>
        <v>0</v>
      </c>
      <c r="G55" s="131">
        <f t="shared" si="61"/>
        <v>0</v>
      </c>
      <c r="H55" s="131">
        <f t="shared" si="61"/>
        <v>-32006317.697024707</v>
      </c>
      <c r="I55" s="131">
        <f t="shared" si="61"/>
        <v>-32646444.050965201</v>
      </c>
      <c r="J55" s="131">
        <f t="shared" si="61"/>
        <v>3622831.5279820375</v>
      </c>
      <c r="K55" s="131">
        <f t="shared" si="61"/>
        <v>7409808.8513247389</v>
      </c>
      <c r="L55" s="131">
        <f t="shared" si="61"/>
        <v>11347014.070329675</v>
      </c>
      <c r="M55" s="131">
        <f t="shared" si="61"/>
        <v>11574631.210106842</v>
      </c>
      <c r="N55" s="131">
        <f t="shared" si="61"/>
        <v>11806800.692679554</v>
      </c>
      <c r="O55" s="131">
        <f t="shared" si="61"/>
        <v>154054123.26527804</v>
      </c>
    </row>
    <row r="56" spans="2:15" ht="9" customHeight="1" thickBot="1">
      <c r="B56" s="127"/>
      <c r="C56" s="127"/>
      <c r="D56" s="132"/>
      <c r="E56" s="117"/>
      <c r="F56" s="117"/>
      <c r="G56" s="117"/>
      <c r="H56" s="133"/>
      <c r="I56" s="117"/>
      <c r="J56" s="117"/>
      <c r="K56" s="117"/>
      <c r="L56" s="117"/>
      <c r="M56" s="117"/>
      <c r="N56" s="117"/>
      <c r="O56" s="117"/>
    </row>
    <row r="57" spans="2:15" ht="9" customHeight="1">
      <c r="B57" s="144" t="s">
        <v>199</v>
      </c>
      <c r="C57" s="145"/>
      <c r="D57" s="145"/>
      <c r="E57" s="156"/>
      <c r="F57" s="157"/>
      <c r="G57" s="157"/>
      <c r="H57" s="157"/>
      <c r="I57" s="157"/>
      <c r="J57" s="157"/>
      <c r="K57" s="146"/>
      <c r="L57" s="119"/>
      <c r="M57" s="119"/>
      <c r="N57" s="119"/>
      <c r="O57" s="119"/>
    </row>
    <row r="58" spans="2:15" ht="9" customHeight="1">
      <c r="B58" s="147" t="s">
        <v>89</v>
      </c>
      <c r="C58" s="142"/>
      <c r="D58" s="155">
        <v>3</v>
      </c>
      <c r="E58" s="140"/>
      <c r="F58" s="140"/>
      <c r="G58" s="141" t="s">
        <v>205</v>
      </c>
      <c r="H58" s="161">
        <f>Phase3begin</f>
        <v>5</v>
      </c>
      <c r="I58" s="140"/>
      <c r="J58" s="141" t="s">
        <v>202</v>
      </c>
      <c r="K58" s="158">
        <f>summary!AJ15</f>
        <v>0</v>
      </c>
      <c r="L58" s="117"/>
      <c r="M58" s="117"/>
      <c r="N58" s="117"/>
      <c r="O58" s="117"/>
    </row>
    <row r="59" spans="2:15" ht="9" customHeight="1">
      <c r="B59" s="147" t="s">
        <v>94</v>
      </c>
      <c r="C59" s="142"/>
      <c r="D59" s="152" t="s">
        <v>110</v>
      </c>
      <c r="E59" s="140"/>
      <c r="F59" s="140"/>
      <c r="G59" s="141" t="s">
        <v>206</v>
      </c>
      <c r="H59" s="161">
        <f>Phase3end</f>
        <v>6</v>
      </c>
      <c r="I59" s="140"/>
      <c r="J59" s="140"/>
      <c r="K59" s="148"/>
      <c r="L59" s="117"/>
      <c r="M59" s="117"/>
      <c r="N59" s="117"/>
      <c r="O59" s="117"/>
    </row>
    <row r="60" spans="2:15" ht="9" customHeight="1" thickBot="1">
      <c r="B60" s="159"/>
      <c r="C60" s="160"/>
      <c r="D60" s="160"/>
      <c r="E60" s="160"/>
      <c r="F60" s="160"/>
      <c r="G60" s="150" t="s">
        <v>200</v>
      </c>
      <c r="H60" s="153">
        <f>Phase3open</f>
        <v>7</v>
      </c>
      <c r="I60" s="160"/>
      <c r="J60" s="160"/>
      <c r="K60" s="149"/>
      <c r="L60" s="117"/>
      <c r="M60" s="117"/>
      <c r="N60" s="117"/>
      <c r="O60" s="117"/>
    </row>
    <row r="61" spans="2:15" ht="9" customHeight="1">
      <c r="B61" s="117"/>
      <c r="C61" s="136"/>
      <c r="D61" s="120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</row>
    <row r="62" spans="2:15" ht="9" customHeight="1">
      <c r="B62" s="121" t="s">
        <v>183</v>
      </c>
      <c r="C62" s="121"/>
      <c r="D62" s="117"/>
      <c r="E62" s="122">
        <f>IF(OR(E$2=$H60,E$2&gt;$H60),INDEX(summary!$A$2:$D$24,MATCH($D59,summary!$A$2:$A$24,0),MATCH($D58,summary!$A$2:$D$2,0)),0)</f>
        <v>0</v>
      </c>
      <c r="F62" s="122">
        <f>IF(OR(F$2=$H60,F$2&gt;$H60),INDEX(summary!$A$2:$D$24,MATCH($D59,summary!$A$2:$A$24,0),MATCH($D58,summary!$A$2:$D$2,0)),0)</f>
        <v>0</v>
      </c>
      <c r="G62" s="122">
        <f>IF(OR(G$2=$H60,G$2&gt;$H60),INDEX(summary!$A$2:$D$24,MATCH($D59,summary!$A$2:$A$24,0),MATCH($D58,summary!$A$2:$D$2,0)),0)</f>
        <v>0</v>
      </c>
      <c r="H62" s="122">
        <f>IF(OR(H$2=$H60,H$2&gt;$H60),INDEX(summary!$A$2:$D$24,MATCH($D59,summary!$A$2:$A$24,0),MATCH($D58,summary!$A$2:$D$2,0)),0)</f>
        <v>0</v>
      </c>
      <c r="I62" s="122">
        <f>IF(OR(I$2=$H60,I$2&gt;$H60),INDEX(summary!$A$2:$D$24,MATCH($D59,summary!$A$2:$A$24,0),MATCH($D58,summary!$A$2:$D$2,0)),0)</f>
        <v>0</v>
      </c>
      <c r="J62" s="122">
        <f>IF(OR(J$2=$H60,J$2&gt;$H60),INDEX(summary!$A$2:$D$24,MATCH($D59,summary!$A$2:$A$24,0),MATCH($D58,summary!$A$2:$D$2,0)),0)</f>
        <v>0</v>
      </c>
      <c r="K62" s="122">
        <f>IF(OR(K$2=$H60,K$2&gt;$H60),INDEX(summary!$A$2:$D$24,MATCH($D59,summary!$A$2:$A$24,0),MATCH($D58,summary!$A$2:$D$2,0)),0)</f>
        <v>0</v>
      </c>
      <c r="L62" s="122">
        <f>IF(OR(L$2=$H60,L$2&gt;$H60),INDEX(summary!$A$2:$D$24,MATCH($D59,summary!$A$2:$A$24,0),MATCH($D58,summary!$A$2:$D$2,0)),0)</f>
        <v>675468.81660000002</v>
      </c>
      <c r="M62" s="122">
        <f>IF(OR(M$2=$H60,M$2&gt;$H60),INDEX(summary!$A$2:$D$24,MATCH($D59,summary!$A$2:$A$24,0),MATCH($D58,summary!$A$2:$D$2,0)),0)</f>
        <v>675468.81660000002</v>
      </c>
      <c r="N62" s="122">
        <f>IF(OR(N$2=$H60,N$2&gt;$H60),INDEX(summary!$A$2:$D$24,MATCH($D59,summary!$A$2:$A$24,0),MATCH($D58,summary!$A$2:$D$2,0)),0)</f>
        <v>675468.81660000002</v>
      </c>
      <c r="O62" s="122">
        <f>IF(OR(O$2=$H60,O$2&gt;$H60),INDEX(summary!$A$2:$D$24,MATCH($D59,summary!$A$2:$A$24,0),MATCH($D58,summary!$A$2:$D$2,0)),0)</f>
        <v>675468.81660000002</v>
      </c>
    </row>
    <row r="63" spans="2:15" ht="9" customHeight="1">
      <c r="B63" s="121" t="s">
        <v>195</v>
      </c>
      <c r="C63" s="137" t="s">
        <v>192</v>
      </c>
      <c r="D63" s="123">
        <f>INDEX(cockpit!$J$6:$X$16,MATCH($D59,cockpit!$J$6:$J$16,0),MATCH($C$11,cockpit!$J$6:$X$6,0))</f>
        <v>0</v>
      </c>
      <c r="E63" s="122">
        <f>E62*(1-$D63)</f>
        <v>0</v>
      </c>
      <c r="F63" s="122">
        <f t="shared" ref="F63:O63" si="62">F62*(1-$D63)</f>
        <v>0</v>
      </c>
      <c r="G63" s="122">
        <f t="shared" si="62"/>
        <v>0</v>
      </c>
      <c r="H63" s="122">
        <f t="shared" si="62"/>
        <v>0</v>
      </c>
      <c r="I63" s="122">
        <f t="shared" si="62"/>
        <v>0</v>
      </c>
      <c r="J63" s="122">
        <f t="shared" si="62"/>
        <v>0</v>
      </c>
      <c r="K63" s="122">
        <f t="shared" si="62"/>
        <v>0</v>
      </c>
      <c r="L63" s="122">
        <f t="shared" si="62"/>
        <v>675468.81660000002</v>
      </c>
      <c r="M63" s="122">
        <f t="shared" si="62"/>
        <v>675468.81660000002</v>
      </c>
      <c r="N63" s="122">
        <f t="shared" si="62"/>
        <v>675468.81660000002</v>
      </c>
      <c r="O63" s="122">
        <f t="shared" si="62"/>
        <v>675468.81660000002</v>
      </c>
    </row>
    <row r="64" spans="2:15" ht="9" customHeight="1">
      <c r="B64" s="121" t="s">
        <v>181</v>
      </c>
      <c r="C64" s="137" t="s">
        <v>153</v>
      </c>
      <c r="D64" s="138">
        <f>Officerampup</f>
        <v>0.28333333333333333</v>
      </c>
      <c r="E64" s="122">
        <f>IF(OR(E$2=$H60,AND(E$2&gt;$H60,E$2&lt;(SUM($H60,INDEX(cockpit!$J$6:$X$16,MATCH($D59,cockpit!$J$6:$J$16,0),MATCH($C$12,cockpit!$J$6:$X$6,0)))))),E63*$D64,0)</f>
        <v>0</v>
      </c>
      <c r="F64" s="122">
        <f>IF(OR(F$2=$H60,AND(F$2&gt;$H60,F$2&lt;(SUM($H60,INDEX(cockpit!$J$6:$X$16,MATCH($D59,cockpit!$J$6:$J$16,0),MATCH($C$12,cockpit!$J$6:$X$6,0)))))),F63*$D64,0)</f>
        <v>0</v>
      </c>
      <c r="G64" s="122">
        <f>IF(OR(G$2=$H60,AND(G$2&gt;$H60,G$2&lt;(SUM($H60,INDEX(cockpit!$J$6:$X$16,MATCH($D59,cockpit!$J$6:$J$16,0),MATCH($C$12,cockpit!$J$6:$X$6,0)))))),G63*$D64,0)</f>
        <v>0</v>
      </c>
      <c r="H64" s="122">
        <f>IF(OR(H$2=$H60,AND(H$2&gt;$H60,H$2&lt;(SUM($H60,INDEX(cockpit!$J$6:$X$16,MATCH($D59,cockpit!$J$6:$J$16,0),MATCH($C$12,cockpit!$J$6:$X$6,0)))))),H63*$D64,0)</f>
        <v>0</v>
      </c>
      <c r="I64" s="122">
        <f>IF(OR(I$2=$H60,AND(I$2&gt;$H60,I$2&lt;(SUM($H60,INDEX(cockpit!$J$6:$X$16,MATCH($D59,cockpit!$J$6:$J$16,0),MATCH($C$12,cockpit!$J$6:$X$6,0)))))),I63*$D64,0)</f>
        <v>0</v>
      </c>
      <c r="J64" s="122">
        <f>IF(OR(J$2=$H60,AND(J$2&gt;$H60,J$2&lt;(SUM($H60,INDEX(cockpit!$J$6:$X$16,MATCH($D59,cockpit!$J$6:$J$16,0),MATCH($C$12,cockpit!$J$6:$X$6,0)))))),J63*$D64,0)</f>
        <v>0</v>
      </c>
      <c r="K64" s="122">
        <f>IF(OR(K$2=$H60,AND(K$2&gt;$H60,K$2&lt;(SUM($H60,INDEX(cockpit!$J$6:$X$16,MATCH($D59,cockpit!$J$6:$J$16,0),MATCH($C$12,cockpit!$J$6:$X$6,0)))))),K63*$D64,0)</f>
        <v>0</v>
      </c>
      <c r="L64" s="122">
        <f>IF(OR(L$2=$H60,AND(L$2&gt;$H60,L$2&lt;(SUM($H60,INDEX(cockpit!$J$6:$X$16,MATCH($D59,cockpit!$J$6:$J$16,0),MATCH($C$12,cockpit!$J$6:$X$6,0)))))),L63*$D64,0)</f>
        <v>191382.83137</v>
      </c>
      <c r="M64" s="122">
        <f>IF(OR(M$2=$H60,AND(M$2&gt;$H60,M$2&lt;(SUM($H60,INDEX(cockpit!$J$6:$X$16,MATCH($D59,cockpit!$J$6:$J$16,0),MATCH($C$12,cockpit!$J$6:$X$6,0)))))),M63*$D64,0)</f>
        <v>191382.83137</v>
      </c>
      <c r="N64" s="122">
        <f>IF(OR(N$2=$H60,AND(N$2&gt;$H60,N$2&lt;(SUM($H60,INDEX(cockpit!$J$6:$X$16,MATCH($D59,cockpit!$J$6:$J$16,0),MATCH($C$12,cockpit!$J$6:$X$6,0)))))),N63*$D64,0)</f>
        <v>191382.83137</v>
      </c>
      <c r="O64" s="122">
        <f>IF(OR(O$2=$H60,AND(O$2&gt;$H60,O$2&lt;(SUM($H60,INDEX(cockpit!$J$6:$X$16,MATCH($D59,cockpit!$J$6:$J$16,0),MATCH($C$12,cockpit!$J$6:$X$6,0)))))),O63*$D64,0)</f>
        <v>0</v>
      </c>
    </row>
    <row r="65" spans="2:15" ht="9" customHeight="1">
      <c r="B65" s="121" t="s">
        <v>182</v>
      </c>
      <c r="C65" s="139"/>
      <c r="D65" s="117"/>
      <c r="E65" s="122">
        <f>SUM($E64:E64)</f>
        <v>0</v>
      </c>
      <c r="F65" s="122">
        <f>SUM($E64:F64)</f>
        <v>0</v>
      </c>
      <c r="G65" s="122">
        <f>SUM($E64:G64)</f>
        <v>0</v>
      </c>
      <c r="H65" s="122">
        <f>SUM($E64:H64)</f>
        <v>0</v>
      </c>
      <c r="I65" s="122">
        <f>SUM($E64:I64)</f>
        <v>0</v>
      </c>
      <c r="J65" s="122">
        <f>SUM($E64:J64)</f>
        <v>0</v>
      </c>
      <c r="K65" s="122">
        <f>SUM($E64:K64)</f>
        <v>0</v>
      </c>
      <c r="L65" s="122">
        <f>SUM($E64:L64)</f>
        <v>191382.83137</v>
      </c>
      <c r="M65" s="122">
        <f>SUM($E64:M64)</f>
        <v>382765.66274</v>
      </c>
      <c r="N65" s="122">
        <f>SUM($E64:N64)</f>
        <v>574148.49410999997</v>
      </c>
      <c r="O65" s="122">
        <f>SUM($E64:O64)</f>
        <v>574148.49410999997</v>
      </c>
    </row>
    <row r="66" spans="2:15" ht="9" customHeight="1">
      <c r="B66" s="121"/>
      <c r="C66" s="139"/>
      <c r="D66" s="117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2:15" ht="9" customHeight="1">
      <c r="B67" s="120"/>
      <c r="C67" s="139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</row>
    <row r="68" spans="2:15" ht="9" customHeight="1">
      <c r="B68" s="134" t="s">
        <v>167</v>
      </c>
      <c r="C68" s="139"/>
      <c r="D68" s="124">
        <f>(OfficemarketratePSF*(1-$K58))+((OfficemarketratePSF*(1+premiumprices)*$K58))</f>
        <v>30</v>
      </c>
      <c r="E68" s="125">
        <f t="shared" ref="E68:O68" si="63">E65*($D68*((1+Inflation)^(E$2-1)))</f>
        <v>0</v>
      </c>
      <c r="F68" s="125">
        <f t="shared" si="63"/>
        <v>0</v>
      </c>
      <c r="G68" s="125">
        <f t="shared" si="63"/>
        <v>0</v>
      </c>
      <c r="H68" s="125">
        <f t="shared" si="63"/>
        <v>0</v>
      </c>
      <c r="I68" s="125">
        <f t="shared" si="63"/>
        <v>0</v>
      </c>
      <c r="J68" s="125">
        <f t="shared" si="63"/>
        <v>0</v>
      </c>
      <c r="K68" s="125">
        <f t="shared" si="63"/>
        <v>0</v>
      </c>
      <c r="L68" s="125">
        <f t="shared" si="63"/>
        <v>6465844.5714370012</v>
      </c>
      <c r="M68" s="125">
        <f t="shared" si="63"/>
        <v>13190322.92573148</v>
      </c>
      <c r="N68" s="125">
        <f t="shared" si="63"/>
        <v>20181194.076369166</v>
      </c>
      <c r="O68" s="125">
        <f t="shared" si="63"/>
        <v>20584817.957896546</v>
      </c>
    </row>
    <row r="69" spans="2:15" ht="9" customHeight="1">
      <c r="B69" s="134" t="s">
        <v>218</v>
      </c>
      <c r="C69" s="139"/>
      <c r="D69" s="124">
        <f>IF(INDEX(cockpit!$J$6:$X$16,MATCH($D59,cockpit!$J$6:$J$16,0),MATCH($B69,cockpit!$J$6:$X$6,0))="Y",D70,0)</f>
        <v>10</v>
      </c>
      <c r="E69" s="125">
        <f>-IF($D69&gt;0,E70,0)</f>
        <v>0</v>
      </c>
      <c r="F69" s="125">
        <f t="shared" ref="F69:O69" si="64">-IF($D69&gt;0,F70,0)</f>
        <v>0</v>
      </c>
      <c r="G69" s="125">
        <f t="shared" si="64"/>
        <v>0</v>
      </c>
      <c r="H69" s="125">
        <f t="shared" si="64"/>
        <v>0</v>
      </c>
      <c r="I69" s="125">
        <f t="shared" si="64"/>
        <v>0</v>
      </c>
      <c r="J69" s="125">
        <f t="shared" si="64"/>
        <v>0</v>
      </c>
      <c r="K69" s="125">
        <f t="shared" si="64"/>
        <v>0</v>
      </c>
      <c r="L69" s="125">
        <f t="shared" si="64"/>
        <v>7606875.9663964724</v>
      </c>
      <c r="M69" s="125">
        <f t="shared" si="64"/>
        <v>7759013.4857243998</v>
      </c>
      <c r="N69" s="125">
        <f t="shared" si="64"/>
        <v>7914193.7554388884</v>
      </c>
      <c r="O69" s="125">
        <f t="shared" si="64"/>
        <v>8072477.630547666</v>
      </c>
    </row>
    <row r="70" spans="2:15" ht="9" customHeight="1">
      <c r="B70" s="134" t="s">
        <v>124</v>
      </c>
      <c r="C70" s="139"/>
      <c r="D70" s="124">
        <f>INDEX(cockpit!$J$6:$X$16,MATCH($D59,cockpit!$J$6:$J$16,0),MATCH($B70,cockpit!$J$6:$X$6,0))</f>
        <v>10</v>
      </c>
      <c r="E70" s="126">
        <f t="shared" ref="E70:O70" si="65">-IF($D70&gt;1,E62*($D70*((1+Inflation)^(E$2-1))),E68*(1-$D70))</f>
        <v>0</v>
      </c>
      <c r="F70" s="126">
        <f t="shared" si="65"/>
        <v>0</v>
      </c>
      <c r="G70" s="126">
        <f t="shared" si="65"/>
        <v>0</v>
      </c>
      <c r="H70" s="126">
        <f t="shared" si="65"/>
        <v>0</v>
      </c>
      <c r="I70" s="126">
        <f t="shared" si="65"/>
        <v>0</v>
      </c>
      <c r="J70" s="126">
        <f t="shared" si="65"/>
        <v>0</v>
      </c>
      <c r="K70" s="126">
        <f t="shared" si="65"/>
        <v>0</v>
      </c>
      <c r="L70" s="126">
        <f t="shared" si="65"/>
        <v>-7606875.9663964724</v>
      </c>
      <c r="M70" s="126">
        <f t="shared" si="65"/>
        <v>-7759013.4857243998</v>
      </c>
      <c r="N70" s="126">
        <f t="shared" si="65"/>
        <v>-7914193.7554388884</v>
      </c>
      <c r="O70" s="126">
        <f t="shared" si="65"/>
        <v>-8072477.630547666</v>
      </c>
    </row>
    <row r="71" spans="2:15" ht="9" customHeight="1">
      <c r="B71" s="135" t="s">
        <v>168</v>
      </c>
      <c r="C71" s="139"/>
      <c r="D71" s="117"/>
      <c r="E71" s="125">
        <f>SUM(E68:E70)</f>
        <v>0</v>
      </c>
      <c r="F71" s="125">
        <f t="shared" ref="F71:O71" si="66">SUM(F68:F70)</f>
        <v>0</v>
      </c>
      <c r="G71" s="125">
        <f t="shared" si="66"/>
        <v>0</v>
      </c>
      <c r="H71" s="125">
        <f t="shared" si="66"/>
        <v>0</v>
      </c>
      <c r="I71" s="125">
        <f t="shared" si="66"/>
        <v>0</v>
      </c>
      <c r="J71" s="125">
        <f t="shared" si="66"/>
        <v>0</v>
      </c>
      <c r="K71" s="125">
        <f t="shared" si="66"/>
        <v>0</v>
      </c>
      <c r="L71" s="125">
        <f t="shared" si="66"/>
        <v>6465844.5714370022</v>
      </c>
      <c r="M71" s="125">
        <f t="shared" si="66"/>
        <v>13190322.92573148</v>
      </c>
      <c r="N71" s="125">
        <f t="shared" si="66"/>
        <v>20181194.076369166</v>
      </c>
      <c r="O71" s="125">
        <f t="shared" si="66"/>
        <v>20584817.957896546</v>
      </c>
    </row>
    <row r="72" spans="2:15" ht="9" customHeight="1">
      <c r="B72" s="117"/>
      <c r="C72" s="139"/>
      <c r="D72" s="117"/>
      <c r="E72" s="217">
        <f t="shared" ref="E72:O72" si="67">IFERROR(E71/SUM(E68:E69),0)</f>
        <v>0</v>
      </c>
      <c r="F72" s="217">
        <f t="shared" si="67"/>
        <v>0</v>
      </c>
      <c r="G72" s="217">
        <f t="shared" si="67"/>
        <v>0</v>
      </c>
      <c r="H72" s="217">
        <f t="shared" si="67"/>
        <v>0</v>
      </c>
      <c r="I72" s="217">
        <f t="shared" si="67"/>
        <v>0</v>
      </c>
      <c r="J72" s="217">
        <f t="shared" si="67"/>
        <v>0</v>
      </c>
      <c r="K72" s="217">
        <f t="shared" si="67"/>
        <v>0</v>
      </c>
      <c r="L72" s="217">
        <f t="shared" si="67"/>
        <v>0.45945945945945948</v>
      </c>
      <c r="M72" s="217">
        <f t="shared" si="67"/>
        <v>0.62962962962962965</v>
      </c>
      <c r="N72" s="217">
        <f t="shared" si="67"/>
        <v>0.71830985915492962</v>
      </c>
      <c r="O72" s="217">
        <f t="shared" si="67"/>
        <v>0.71830985915492962</v>
      </c>
    </row>
    <row r="73" spans="2:15" ht="9" customHeight="1">
      <c r="B73" s="121" t="s">
        <v>169</v>
      </c>
      <c r="C73" s="139"/>
      <c r="D73" s="128">
        <f>INDEX(cockpit!$J$6:$X$16,MATCH($D59,cockpit!$J$6:$J$16,0),MATCH($B73,cockpit!$J$6:$X$6,0))</f>
        <v>0.05</v>
      </c>
      <c r="E73" s="125">
        <f>-E63*$D73</f>
        <v>0</v>
      </c>
      <c r="F73" s="125">
        <f t="shared" ref="F73:O73" si="68">-F63*$D73</f>
        <v>0</v>
      </c>
      <c r="G73" s="125">
        <f t="shared" si="68"/>
        <v>0</v>
      </c>
      <c r="H73" s="125">
        <f t="shared" si="68"/>
        <v>0</v>
      </c>
      <c r="I73" s="125">
        <f t="shared" si="68"/>
        <v>0</v>
      </c>
      <c r="J73" s="125">
        <f t="shared" si="68"/>
        <v>0</v>
      </c>
      <c r="K73" s="125">
        <f t="shared" si="68"/>
        <v>0</v>
      </c>
      <c r="L73" s="125">
        <f t="shared" si="68"/>
        <v>-33773.44083</v>
      </c>
      <c r="M73" s="125">
        <f t="shared" si="68"/>
        <v>-33773.44083</v>
      </c>
      <c r="N73" s="125">
        <f t="shared" si="68"/>
        <v>-33773.44083</v>
      </c>
      <c r="O73" s="125">
        <f t="shared" si="68"/>
        <v>-33773.44083</v>
      </c>
    </row>
    <row r="74" spans="2:15" ht="9" customHeight="1">
      <c r="B74" s="121" t="s">
        <v>163</v>
      </c>
      <c r="C74" s="139"/>
      <c r="D74" s="128">
        <f>INDEX(cockpit!$J$6:$X$16,MATCH($D59,cockpit!$J$6:$J$16,0),MATCH($B74,cockpit!$J$6:$X$6,0))</f>
        <v>0.05</v>
      </c>
      <c r="E74" s="126">
        <f>-E65*$D74</f>
        <v>0</v>
      </c>
      <c r="F74" s="126">
        <f t="shared" ref="F74:O74" si="69">-F65*$D74</f>
        <v>0</v>
      </c>
      <c r="G74" s="126">
        <f t="shared" si="69"/>
        <v>0</v>
      </c>
      <c r="H74" s="126">
        <f t="shared" si="69"/>
        <v>0</v>
      </c>
      <c r="I74" s="126">
        <f t="shared" si="69"/>
        <v>0</v>
      </c>
      <c r="J74" s="126">
        <f t="shared" si="69"/>
        <v>0</v>
      </c>
      <c r="K74" s="126">
        <f t="shared" si="69"/>
        <v>0</v>
      </c>
      <c r="L74" s="126">
        <f t="shared" si="69"/>
        <v>-9569.1415685000011</v>
      </c>
      <c r="M74" s="126">
        <f t="shared" si="69"/>
        <v>-19138.283137000002</v>
      </c>
      <c r="N74" s="126">
        <f t="shared" si="69"/>
        <v>-28707.424705500001</v>
      </c>
      <c r="O74" s="126">
        <f t="shared" si="69"/>
        <v>-28707.424705500001</v>
      </c>
    </row>
    <row r="75" spans="2:15" ht="9" customHeight="1">
      <c r="B75" s="127" t="s">
        <v>196</v>
      </c>
      <c r="C75" s="139"/>
      <c r="D75" s="128"/>
      <c r="E75" s="129">
        <f>SUM(E73:E74)</f>
        <v>0</v>
      </c>
      <c r="F75" s="129">
        <f t="shared" ref="F75:O75" si="70">SUM(F73:F74)</f>
        <v>0</v>
      </c>
      <c r="G75" s="129">
        <f t="shared" si="70"/>
        <v>0</v>
      </c>
      <c r="H75" s="129">
        <f t="shared" si="70"/>
        <v>0</v>
      </c>
      <c r="I75" s="129">
        <f t="shared" si="70"/>
        <v>0</v>
      </c>
      <c r="J75" s="129">
        <f t="shared" si="70"/>
        <v>0</v>
      </c>
      <c r="K75" s="129">
        <f t="shared" si="70"/>
        <v>0</v>
      </c>
      <c r="L75" s="129">
        <f t="shared" si="70"/>
        <v>-43342.582398500002</v>
      </c>
      <c r="M75" s="129">
        <f t="shared" si="70"/>
        <v>-52911.723966999998</v>
      </c>
      <c r="N75" s="129">
        <f t="shared" si="70"/>
        <v>-62480.865535500001</v>
      </c>
      <c r="O75" s="129">
        <f t="shared" si="70"/>
        <v>-62480.865535500001</v>
      </c>
    </row>
    <row r="76" spans="2:15" ht="9" customHeight="1">
      <c r="B76" s="121"/>
      <c r="C76" s="139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2:15" ht="9" customHeight="1">
      <c r="B77" s="121" t="s">
        <v>171</v>
      </c>
      <c r="C77" s="139"/>
      <c r="D77" s="124">
        <f>(OfficeconstructionratePSF*(1-$K58))+((OfficeconstructionratePSF*(1+premiumprices)*$K58))</f>
        <v>135</v>
      </c>
      <c r="E77" s="125">
        <f>-IF(OR(E$2=$H58,E$2=$H59,AND(E$2&gt;$H58,E$2&lt;$H59)),(INDEX(summary!$A$2:$D$24,MATCH($D59,summary!$A$2:$A$24,0),MATCH($D58,summary!$A$2:$D$2,0)))/Constructiontime)*($D77*((1+Inflation)^(E$2-1)))*(1+Developerfee)</f>
        <v>0</v>
      </c>
      <c r="F77" s="125">
        <f>-IF(OR(F$2=$H58,F$2=$H59,AND(F$2&gt;$H58,F$2&lt;$H59)),(INDEX(summary!$A$2:$D$24,MATCH($D59,summary!$A$2:$A$24,0),MATCH($D58,summary!$A$2:$D$2,0)))/Constructiontime)*($D77*((1+Inflation)^(F$2-1)))*(1+Developerfee)</f>
        <v>0</v>
      </c>
      <c r="G77" s="125">
        <f>-IF(OR(G$2=$H58,G$2=$H59,AND(G$2&gt;$H58,G$2&lt;$H59)),(INDEX(summary!$A$2:$D$24,MATCH($D59,summary!$A$2:$A$24,0),MATCH($D58,summary!$A$2:$D$2,0)))/Constructiontime)*($D77*((1+Inflation)^(G$2-1)))*(1+Developerfee)</f>
        <v>0</v>
      </c>
      <c r="H77" s="125">
        <f>-IF(OR(H$2=$H58,H$2=$H59,AND(H$2&gt;$H58,H$2&lt;$H59)),(INDEX(summary!$A$2:$D$24,MATCH($D59,summary!$A$2:$A$24,0),MATCH($D58,summary!$A$2:$D$2,0)))/Constructiontime)*($D77*((1+Inflation)^(H$2-1)))*(1+Developerfee)</f>
        <v>0</v>
      </c>
      <c r="I77" s="125">
        <f>-IF(OR(I$2=$H58,I$2=$H59,AND(I$2&gt;$H58,I$2&lt;$H59)),(INDEX(summary!$A$2:$D$24,MATCH($D59,summary!$A$2:$A$24,0),MATCH($D58,summary!$A$2:$D$2,0)))/Constructiontime)*($D77*((1+Inflation)^(I$2-1)))*(1+Developerfee)</f>
        <v>0</v>
      </c>
      <c r="J77" s="125">
        <f>-IF(OR(J$2=$H58,J$2=$H59,AND(J$2&gt;$H58,J$2&lt;$H59)),(INDEX(summary!$A$2:$D$24,MATCH($D59,summary!$A$2:$A$24,0),MATCH($D58,summary!$A$2:$D$2,0)))/Constructiontime)*($D77*((1+Inflation)^(J$2-1)))*(1+Developerfee)</f>
        <v>-56755454.33405672</v>
      </c>
      <c r="K77" s="125">
        <f>-IF(OR(K$2=$H58,K$2=$H59,AND(K$2&gt;$H58,K$2&lt;$H59)),(INDEX(summary!$A$2:$D$24,MATCH($D59,summary!$A$2:$A$24,0),MATCH($D58,summary!$A$2:$D$2,0)))/Constructiontime)*($D77*((1+Inflation)^(K$2-1)))*(1+Developerfee)</f>
        <v>-57890563.420737848</v>
      </c>
      <c r="L77" s="125">
        <f>-IF(OR(L$2=$H58,L$2=$H59,AND(L$2&gt;$H58,L$2&lt;$H59)),(INDEX(summary!$A$2:$D$24,MATCH($D59,summary!$A$2:$A$24,0),MATCH($D58,summary!$A$2:$D$2,0)))/Constructiontime)*($D77*((1+Inflation)^(L$2-1)))*(1+Developerfee)</f>
        <v>0</v>
      </c>
      <c r="M77" s="125">
        <f>-IF(OR(M$2=$H58,M$2=$H59,AND(M$2&gt;$H58,M$2&lt;$H59)),(INDEX(summary!$A$2:$D$24,MATCH($D59,summary!$A$2:$A$24,0),MATCH($D58,summary!$A$2:$D$2,0)))/Constructiontime)*($D77*((1+Inflation)^(M$2-1)))*(1+Developerfee)</f>
        <v>0</v>
      </c>
      <c r="N77" s="125">
        <f>-IF(OR(N$2=$H58,N$2=$H59,AND(N$2&gt;$H58,N$2&lt;$H59)),(INDEX(summary!$A$2:$D$24,MATCH($D59,summary!$A$2:$A$24,0),MATCH($D58,summary!$A$2:$D$2,0)))/Constructiontime)*($D77*((1+Inflation)^(N$2-1)))*(1+Developerfee)</f>
        <v>0</v>
      </c>
      <c r="O77" s="125">
        <f>-IF(OR(O$2=$H58,O$2=$H59,AND(O$2&gt;$H58,O$2&lt;$H59)),(INDEX(summary!$A$2:$D$24,MATCH($D59,summary!$A$2:$A$24,0),MATCH($D58,summary!$A$2:$D$2,0)))/Constructiontime)*($D77*((1+Inflation)^(O$2-1)))*(1+Developerfee)</f>
        <v>0</v>
      </c>
    </row>
    <row r="78" spans="2:15" ht="9" customHeight="1">
      <c r="B78" s="121" t="s">
        <v>198</v>
      </c>
      <c r="C78" s="139" t="s">
        <v>190</v>
      </c>
      <c r="D78" s="138">
        <f>(INDEX(cockpit!$J$6:$X$16,MATCH($D59,cockpit!$J$6:$J$16,0),MATCH($C78,cockpit!$J$6:$X$6,0))*(1-$K58))+((INDEX(cockpit!$J$6:$X$16,MATCH($D59,cockpit!$J$6:$J$16,0),MATCH($C78,cockpit!$J$6:$X$6,0))-(Premiumexitcaprate))*$K58)</f>
        <v>8.5000000000000006E-2</v>
      </c>
      <c r="E78" s="126">
        <f t="shared" ref="E78:O78" si="71">IF(E$2=dispositionyear,E71/$D78,0)*(1-Closingcosts)</f>
        <v>0</v>
      </c>
      <c r="F78" s="126">
        <f t="shared" si="71"/>
        <v>0</v>
      </c>
      <c r="G78" s="126">
        <f t="shared" si="71"/>
        <v>0</v>
      </c>
      <c r="H78" s="126">
        <f t="shared" si="71"/>
        <v>0</v>
      </c>
      <c r="I78" s="126">
        <f t="shared" si="71"/>
        <v>0</v>
      </c>
      <c r="J78" s="126">
        <f t="shared" si="71"/>
        <v>0</v>
      </c>
      <c r="K78" s="126">
        <f t="shared" si="71"/>
        <v>0</v>
      </c>
      <c r="L78" s="126">
        <f t="shared" si="71"/>
        <v>0</v>
      </c>
      <c r="M78" s="126">
        <f t="shared" si="71"/>
        <v>0</v>
      </c>
      <c r="N78" s="126">
        <f t="shared" si="71"/>
        <v>0</v>
      </c>
      <c r="O78" s="126">
        <f t="shared" si="71"/>
        <v>236119970.69351918</v>
      </c>
    </row>
    <row r="79" spans="2:15" ht="9" customHeight="1">
      <c r="B79" s="127" t="s">
        <v>197</v>
      </c>
      <c r="C79" s="139"/>
      <c r="D79" s="123"/>
      <c r="E79" s="129">
        <f>SUM(E77:E78)</f>
        <v>0</v>
      </c>
      <c r="F79" s="129">
        <f t="shared" ref="F79:O79" si="72">SUM(F77:F78)</f>
        <v>0</v>
      </c>
      <c r="G79" s="129">
        <f t="shared" si="72"/>
        <v>0</v>
      </c>
      <c r="H79" s="129">
        <f t="shared" si="72"/>
        <v>0</v>
      </c>
      <c r="I79" s="129">
        <f t="shared" si="72"/>
        <v>0</v>
      </c>
      <c r="J79" s="129">
        <f t="shared" si="72"/>
        <v>-56755454.33405672</v>
      </c>
      <c r="K79" s="129">
        <f t="shared" si="72"/>
        <v>-57890563.420737848</v>
      </c>
      <c r="L79" s="129">
        <f t="shared" si="72"/>
        <v>0</v>
      </c>
      <c r="M79" s="129">
        <f t="shared" si="72"/>
        <v>0</v>
      </c>
      <c r="N79" s="129">
        <f t="shared" si="72"/>
        <v>0</v>
      </c>
      <c r="O79" s="129">
        <f t="shared" si="72"/>
        <v>236119970.69351918</v>
      </c>
    </row>
    <row r="80" spans="2:15" ht="9" customHeight="1">
      <c r="B80" s="121"/>
      <c r="C80" s="139"/>
      <c r="D80" s="123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</row>
    <row r="81" spans="2:15" ht="9" customHeight="1">
      <c r="B81" s="127" t="s">
        <v>170</v>
      </c>
      <c r="C81" s="127"/>
      <c r="D81" s="130">
        <f ca="1">IRR(OFFSET(E81,0,0,1,Investmenthorizon+1))</f>
        <v>0.25030453277865194</v>
      </c>
      <c r="E81" s="131">
        <f>SUM(E71,E75,E79)</f>
        <v>0</v>
      </c>
      <c r="F81" s="131">
        <f t="shared" ref="F81:O81" si="73">SUM(F71,F75,F79)</f>
        <v>0</v>
      </c>
      <c r="G81" s="131">
        <f t="shared" si="73"/>
        <v>0</v>
      </c>
      <c r="H81" s="131">
        <f t="shared" si="73"/>
        <v>0</v>
      </c>
      <c r="I81" s="131">
        <f t="shared" si="73"/>
        <v>0</v>
      </c>
      <c r="J81" s="131">
        <f t="shared" si="73"/>
        <v>-56755454.33405672</v>
      </c>
      <c r="K81" s="131">
        <f t="shared" si="73"/>
        <v>-57890563.420737848</v>
      </c>
      <c r="L81" s="131">
        <f t="shared" si="73"/>
        <v>6422501.9890385019</v>
      </c>
      <c r="M81" s="131">
        <f t="shared" si="73"/>
        <v>13137411.201764479</v>
      </c>
      <c r="N81" s="131">
        <f t="shared" si="73"/>
        <v>20118713.210833665</v>
      </c>
      <c r="O81" s="131">
        <f t="shared" si="73"/>
        <v>256642307.78588021</v>
      </c>
    </row>
    <row r="82" spans="2:15" ht="9" customHeight="1">
      <c r="B82" s="127"/>
      <c r="C82" s="127"/>
      <c r="D82" s="132"/>
      <c r="E82" s="117"/>
      <c r="F82" s="117"/>
      <c r="G82" s="117"/>
      <c r="H82" s="133"/>
      <c r="I82" s="117"/>
      <c r="J82" s="117"/>
      <c r="K82" s="117"/>
      <c r="L82" s="117"/>
      <c r="M82" s="117"/>
      <c r="N82" s="117"/>
      <c r="O82" s="1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30B82-4481-4D8E-A563-7C107BF6304E}">
  <sheetPr>
    <tabColor theme="9" tint="0.59999389629810485"/>
  </sheetPr>
  <dimension ref="B2:P81"/>
  <sheetViews>
    <sheetView showGridLines="0" topLeftCell="A11" zoomScale="70" zoomScaleNormal="70" workbookViewId="0">
      <selection activeCell="G15" sqref="G15"/>
    </sheetView>
    <sheetView topLeftCell="A55" zoomScale="70" zoomScaleNormal="70" workbookViewId="1">
      <selection activeCell="H9" sqref="H9"/>
    </sheetView>
  </sheetViews>
  <sheetFormatPr defaultRowHeight="9" customHeight="1"/>
  <cols>
    <col min="2" max="2" width="24.15625" bestFit="1" customWidth="1"/>
    <col min="3" max="3" width="1.15625" customWidth="1"/>
    <col min="5" max="5" width="9" bestFit="1" customWidth="1"/>
    <col min="6" max="7" width="11.47265625" bestFit="1" customWidth="1"/>
    <col min="8" max="8" width="10.3671875" bestFit="1" customWidth="1"/>
    <col min="9" max="14" width="11.1015625" bestFit="1" customWidth="1"/>
    <col min="15" max="15" width="11.734375" bestFit="1" customWidth="1"/>
  </cols>
  <sheetData>
    <row r="2" spans="2:16" ht="9" customHeight="1" thickBot="1">
      <c r="B2" s="150" t="s">
        <v>176</v>
      </c>
      <c r="C2" s="150"/>
      <c r="D2" s="151"/>
      <c r="E2" s="151">
        <v>0</v>
      </c>
      <c r="F2" s="151">
        <v>1</v>
      </c>
      <c r="G2" s="151">
        <v>2</v>
      </c>
      <c r="H2" s="151">
        <v>3</v>
      </c>
      <c r="I2" s="151">
        <v>4</v>
      </c>
      <c r="J2" s="151">
        <v>5</v>
      </c>
      <c r="K2" s="151">
        <v>6</v>
      </c>
      <c r="L2" s="151">
        <v>7</v>
      </c>
      <c r="M2" s="151">
        <v>8</v>
      </c>
      <c r="N2" s="151">
        <v>9</v>
      </c>
      <c r="O2" s="151">
        <v>10</v>
      </c>
    </row>
    <row r="3" spans="2:16" ht="9" customHeight="1" thickBot="1"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6" ht="9" customHeight="1">
      <c r="B4" s="144" t="s">
        <v>199</v>
      </c>
      <c r="C4" s="145"/>
      <c r="D4" s="145"/>
      <c r="E4" s="156"/>
      <c r="F4" s="157"/>
      <c r="G4" s="157"/>
      <c r="H4" s="157"/>
      <c r="I4" s="157"/>
      <c r="J4" s="157"/>
      <c r="K4" s="146"/>
      <c r="L4" s="119"/>
      <c r="M4" s="119"/>
      <c r="N4" s="119"/>
      <c r="O4" s="119"/>
    </row>
    <row r="5" spans="2:16" ht="9" customHeight="1">
      <c r="B5" s="147" t="s">
        <v>89</v>
      </c>
      <c r="C5" s="142"/>
      <c r="D5" s="155">
        <f>Phase1</f>
        <v>1</v>
      </c>
      <c r="E5" s="140"/>
      <c r="F5" s="140"/>
      <c r="G5" s="141" t="s">
        <v>205</v>
      </c>
      <c r="H5" s="161">
        <f>Phase1begin</f>
        <v>1</v>
      </c>
      <c r="I5" s="140"/>
      <c r="J5" s="141" t="s">
        <v>202</v>
      </c>
      <c r="K5" s="158">
        <f>summary!AF16</f>
        <v>0.30660640003210132</v>
      </c>
      <c r="L5" s="117"/>
      <c r="M5" s="117"/>
      <c r="N5" s="117"/>
      <c r="O5" s="117"/>
    </row>
    <row r="6" spans="2:16" ht="9" customHeight="1">
      <c r="B6" s="147" t="s">
        <v>94</v>
      </c>
      <c r="C6" s="142"/>
      <c r="D6" s="152" t="s">
        <v>142</v>
      </c>
      <c r="E6" s="140"/>
      <c r="F6" s="140"/>
      <c r="G6" s="141" t="s">
        <v>206</v>
      </c>
      <c r="H6" s="161">
        <f>Phase1end</f>
        <v>2</v>
      </c>
      <c r="I6" s="140"/>
      <c r="J6" s="140"/>
      <c r="K6" s="148"/>
      <c r="L6" s="117"/>
      <c r="M6" s="117"/>
      <c r="N6" s="117"/>
      <c r="O6" s="117"/>
    </row>
    <row r="7" spans="2:16" ht="9" customHeight="1" thickBot="1">
      <c r="B7" s="159"/>
      <c r="C7" s="160"/>
      <c r="D7" s="160"/>
      <c r="E7" s="160"/>
      <c r="F7" s="160"/>
      <c r="G7" s="150" t="s">
        <v>200</v>
      </c>
      <c r="H7" s="153">
        <f>Phase1open</f>
        <v>3</v>
      </c>
      <c r="I7" s="160"/>
      <c r="J7" s="160"/>
      <c r="K7" s="149"/>
      <c r="L7" s="117"/>
      <c r="M7" s="117"/>
      <c r="N7" s="117"/>
      <c r="O7" s="117"/>
    </row>
    <row r="8" spans="2:16" ht="9" customHeight="1">
      <c r="B8" s="117"/>
      <c r="C8" s="136"/>
      <c r="D8" s="120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2:16" ht="9" customHeight="1">
      <c r="B9" s="121" t="s">
        <v>276</v>
      </c>
      <c r="C9" s="136"/>
      <c r="D9" s="120"/>
      <c r="E9" s="245">
        <v>0</v>
      </c>
      <c r="F9" s="245">
        <v>0</v>
      </c>
      <c r="G9" s="245">
        <v>0</v>
      </c>
      <c r="H9" s="249">
        <f>'acq-demo-repur'!G9</f>
        <v>18007</v>
      </c>
      <c r="I9" s="122">
        <f>H9</f>
        <v>18007</v>
      </c>
      <c r="J9" s="122">
        <f t="shared" ref="J9:O9" si="0">I9</f>
        <v>18007</v>
      </c>
      <c r="K9" s="122">
        <f t="shared" si="0"/>
        <v>18007</v>
      </c>
      <c r="L9" s="122">
        <f t="shared" si="0"/>
        <v>18007</v>
      </c>
      <c r="M9" s="122">
        <f t="shared" si="0"/>
        <v>18007</v>
      </c>
      <c r="N9" s="122">
        <f t="shared" si="0"/>
        <v>18007</v>
      </c>
      <c r="O9" s="122">
        <f t="shared" si="0"/>
        <v>18007</v>
      </c>
    </row>
    <row r="10" spans="2:16" ht="9" customHeight="1">
      <c r="B10" s="121" t="s">
        <v>183</v>
      </c>
      <c r="C10" s="121"/>
      <c r="D10" s="117"/>
      <c r="E10" s="122">
        <f>IF(OR(E$2=$H7,E$2&gt;$H7),INDEX(summary!$A$2:$D$24,MATCH($D6,summary!$A$2:$A$24,0),MATCH($D5,summary!$A$2:$D$2,0)),0)</f>
        <v>0</v>
      </c>
      <c r="F10" s="122">
        <f>IF(OR(F$2=$H7,F$2&gt;$H7),INDEX(summary!$A$2:$D$24,MATCH($D6,summary!$A$2:$A$24,0),MATCH($D5,summary!$A$2:$D$2,0)),0)</f>
        <v>0</v>
      </c>
      <c r="G10" s="122">
        <f>IF(OR(G$2=$H7,G$2&gt;$H7),INDEX(summary!$A$2:$D$24,MATCH($D6,summary!$A$2:$A$24,0),MATCH($D5,summary!$A$2:$D$2,0)),0)</f>
        <v>0</v>
      </c>
      <c r="H10" s="122">
        <f>IF(OR(H$2=$H7,H$2&gt;$H7),INDEX(summary!$A$2:$D$24,MATCH($D6,summary!$A$2:$A$24,0),MATCH($D5,summary!$A$2:$D$2,0)),0)</f>
        <v>410700.43999999994</v>
      </c>
      <c r="I10" s="122">
        <f>IF(OR(I$2=$H7,I$2&gt;$H7),INDEX(summary!$A$2:$D$24,MATCH($D6,summary!$A$2:$A$24,0),MATCH($D5,summary!$A$2:$D$2,0)),0)</f>
        <v>410700.43999999994</v>
      </c>
      <c r="J10" s="122">
        <f>IF(OR(J$2=$H7,J$2&gt;$H7),INDEX(summary!$A$2:$D$24,MATCH($D6,summary!$A$2:$A$24,0),MATCH($D5,summary!$A$2:$D$2,0)),0)</f>
        <v>410700.43999999994</v>
      </c>
      <c r="K10" s="122">
        <f>IF(OR(K$2=$H7,K$2&gt;$H7),INDEX(summary!$A$2:$D$24,MATCH($D6,summary!$A$2:$A$24,0),MATCH($D5,summary!$A$2:$D$2,0)),0)</f>
        <v>410700.43999999994</v>
      </c>
      <c r="L10" s="122">
        <f>IF(OR(L$2=$H7,L$2&gt;$H7),INDEX(summary!$A$2:$D$24,MATCH($D6,summary!$A$2:$A$24,0),MATCH($D5,summary!$A$2:$D$2,0)),0)</f>
        <v>410700.43999999994</v>
      </c>
      <c r="M10" s="122">
        <f>IF(OR(M$2=$H7,M$2&gt;$H7),INDEX(summary!$A$2:$D$24,MATCH($D6,summary!$A$2:$A$24,0),MATCH($D5,summary!$A$2:$D$2,0)),0)</f>
        <v>410700.43999999994</v>
      </c>
      <c r="N10" s="122">
        <f>IF(OR(N$2=$H7,N$2&gt;$H7),INDEX(summary!$A$2:$D$24,MATCH($D6,summary!$A$2:$A$24,0),MATCH($D5,summary!$A$2:$D$2,0)),0)</f>
        <v>410700.43999999994</v>
      </c>
      <c r="O10" s="122">
        <f>IF(OR(O$2=$H7,O$2&gt;$H7),INDEX(summary!$A$2:$D$24,MATCH($D6,summary!$A$2:$A$24,0),MATCH($D5,summary!$A$2:$D$2,0)),0)</f>
        <v>410700.43999999994</v>
      </c>
    </row>
    <row r="11" spans="2:16" ht="9" customHeight="1">
      <c r="B11" s="121" t="s">
        <v>195</v>
      </c>
      <c r="C11" s="137" t="s">
        <v>192</v>
      </c>
      <c r="D11" s="123">
        <f>INDEX(cockpit!$J$6:$X$16,MATCH($D6,cockpit!$J$6:$J$16,0),MATCH($C$11,cockpit!$J$6:$X$6,0))</f>
        <v>0</v>
      </c>
      <c r="E11" s="122">
        <f>E10*(1-$D11)</f>
        <v>0</v>
      </c>
      <c r="F11" s="122">
        <f t="shared" ref="F11:G11" si="1">F10*(1-$D11)</f>
        <v>0</v>
      </c>
      <c r="G11" s="122">
        <f t="shared" si="1"/>
        <v>0</v>
      </c>
      <c r="H11" s="122">
        <f>SUM(H9:H10)*(1-$D11)</f>
        <v>428707.43999999994</v>
      </c>
      <c r="I11" s="122">
        <f t="shared" ref="I11:O11" si="2">SUM(I9:I10)*(1-$D11)</f>
        <v>428707.43999999994</v>
      </c>
      <c r="J11" s="122">
        <f t="shared" si="2"/>
        <v>428707.43999999994</v>
      </c>
      <c r="K11" s="122">
        <f t="shared" si="2"/>
        <v>428707.43999999994</v>
      </c>
      <c r="L11" s="122">
        <f t="shared" si="2"/>
        <v>428707.43999999994</v>
      </c>
      <c r="M11" s="122">
        <f t="shared" si="2"/>
        <v>428707.43999999994</v>
      </c>
      <c r="N11" s="122">
        <f t="shared" si="2"/>
        <v>428707.43999999994</v>
      </c>
      <c r="O11" s="122">
        <f t="shared" si="2"/>
        <v>428707.43999999994</v>
      </c>
      <c r="P11" s="122"/>
    </row>
    <row r="12" spans="2:16" ht="9" customHeight="1">
      <c r="B12" s="121" t="s">
        <v>181</v>
      </c>
      <c r="C12" s="137" t="s">
        <v>153</v>
      </c>
      <c r="D12" s="138">
        <f>Retailrampup</f>
        <v>0.47499999999999998</v>
      </c>
      <c r="E12" s="122">
        <f>IF(OR(E$2=$H7,AND(E$2&gt;$H7,E$2&lt;(SUM($H7,INDEX(cockpit!$J$6:$X$16,MATCH($D6,cockpit!$J$6:$J$16,0),MATCH($C$12,cockpit!$J$6:$X$6,0)))))),E11*$D12,0)</f>
        <v>0</v>
      </c>
      <c r="F12" s="122">
        <f>IF(OR(F$2=$H7,AND(F$2&gt;$H7,F$2&lt;(SUM($H7,INDEX(cockpit!$J$6:$X$16,MATCH($D6,cockpit!$J$6:$J$16,0),MATCH($C$12,cockpit!$J$6:$X$6,0)))))),F11*$D12,0)</f>
        <v>0</v>
      </c>
      <c r="G12" s="122">
        <f>IF(OR(G$2=$H7,AND(G$2&gt;$H7,G$2&lt;(SUM($H7,INDEX(cockpit!$J$6:$X$16,MATCH($D6,cockpit!$J$6:$J$16,0),MATCH($C$12,cockpit!$J$6:$X$6,0)))))),G11*$D12,0)</f>
        <v>0</v>
      </c>
      <c r="H12" s="122">
        <f>IF(OR(H$2=$H7,AND(H$2&gt;$H7,H$2&lt;(SUM($H7,INDEX(cockpit!$J$6:$X$16,MATCH($D6,cockpit!$J$6:$J$16,0),MATCH($C$12,cockpit!$J$6:$X$6,0)))))),H11*$D12,0)</f>
        <v>203636.03399999996</v>
      </c>
      <c r="I12" s="122">
        <f>IF(OR(I$2=$H7,AND(I$2&gt;$H7,I$2&lt;(SUM($H7,INDEX(cockpit!$J$6:$X$16,MATCH($D6,cockpit!$J$6:$J$16,0),MATCH($C$12,cockpit!$J$6:$X$6,0)))))),I11*$D12,0)</f>
        <v>203636.03399999996</v>
      </c>
      <c r="J12" s="122">
        <f>IF(OR(J$2=$H7,AND(J$2&gt;$H7,J$2&lt;(SUM($H7,INDEX(cockpit!$J$6:$X$16,MATCH($D6,cockpit!$J$6:$J$16,0),MATCH($C$12,cockpit!$J$6:$X$6,0)))))),J11*$D12,0)</f>
        <v>0</v>
      </c>
      <c r="K12" s="122">
        <f>IF(OR(K$2=$H7,AND(K$2&gt;$H7,K$2&lt;(SUM($H7,INDEX(cockpit!$J$6:$X$16,MATCH($D6,cockpit!$J$6:$J$16,0),MATCH($C$12,cockpit!$J$6:$X$6,0)))))),K11*$D12,0)</f>
        <v>0</v>
      </c>
      <c r="L12" s="122">
        <f>IF(OR(L$2=$H7,AND(L$2&gt;$H7,L$2&lt;(SUM($H7,INDEX(cockpit!$J$6:$X$16,MATCH($D6,cockpit!$J$6:$J$16,0),MATCH($C$12,cockpit!$J$6:$X$6,0)))))),L11*$D12,0)</f>
        <v>0</v>
      </c>
      <c r="M12" s="122">
        <f>IF(OR(M$2=$H7,AND(M$2&gt;$H7,M$2&lt;(SUM($H7,INDEX(cockpit!$J$6:$X$16,MATCH($D6,cockpit!$J$6:$J$16,0),MATCH($C$12,cockpit!$J$6:$X$6,0)))))),M11*$D12,0)</f>
        <v>0</v>
      </c>
      <c r="N12" s="122">
        <f>IF(OR(N$2=$H7,AND(N$2&gt;$H7,N$2&lt;(SUM($H7,INDEX(cockpit!$J$6:$X$16,MATCH($D6,cockpit!$J$6:$J$16,0),MATCH($C$12,cockpit!$J$6:$X$6,0)))))),N11*$D12,0)</f>
        <v>0</v>
      </c>
      <c r="O12" s="122">
        <f>IF(OR(O$2=$H7,AND(O$2&gt;$H7,O$2&lt;(SUM($H7,INDEX(cockpit!$J$6:$X$16,MATCH($D6,cockpit!$J$6:$J$16,0),MATCH($C$12,cockpit!$J$6:$X$6,0)))))),O11*$D12,0)</f>
        <v>0</v>
      </c>
    </row>
    <row r="13" spans="2:16" ht="9" customHeight="1">
      <c r="B13" s="121" t="s">
        <v>182</v>
      </c>
      <c r="C13" s="139"/>
      <c r="D13" s="117"/>
      <c r="E13" s="122">
        <f>SUM($E12:E12)</f>
        <v>0</v>
      </c>
      <c r="F13" s="122">
        <f>SUM($E12:F12)</f>
        <v>0</v>
      </c>
      <c r="G13" s="122">
        <f>SUM($E12:G12)</f>
        <v>0</v>
      </c>
      <c r="H13" s="122">
        <f>SUM($E12:H12)</f>
        <v>203636.03399999996</v>
      </c>
      <c r="I13" s="122">
        <f>SUM($E12:I12)</f>
        <v>407272.06799999991</v>
      </c>
      <c r="J13" s="122">
        <f>SUM($E12:J12)</f>
        <v>407272.06799999991</v>
      </c>
      <c r="K13" s="122">
        <f>SUM($E12:K12)</f>
        <v>407272.06799999991</v>
      </c>
      <c r="L13" s="122">
        <f>SUM($E12:L12)</f>
        <v>407272.06799999991</v>
      </c>
      <c r="M13" s="122">
        <f>SUM($E12:M12)</f>
        <v>407272.06799999991</v>
      </c>
      <c r="N13" s="122">
        <f>SUM($E12:N12)</f>
        <v>407272.06799999991</v>
      </c>
      <c r="O13" s="122">
        <f>SUM($E12:O12)</f>
        <v>407272.06799999991</v>
      </c>
    </row>
    <row r="14" spans="2:16" ht="9" customHeight="1">
      <c r="B14" s="120"/>
      <c r="C14" s="139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2:16" ht="9" customHeight="1">
      <c r="B15" s="134" t="s">
        <v>167</v>
      </c>
      <c r="C15" s="139"/>
      <c r="D15" s="124">
        <f>(RetailrentalratePSF*(1-$K5))+((RetailrentalratePSF*(1+premiumprices)*$K5))</f>
        <v>30.494238994217376</v>
      </c>
      <c r="E15" s="125">
        <f t="shared" ref="E15:O15" si="3">E13*($D15*((1+Inflation)^(E$2-1)))</f>
        <v>0</v>
      </c>
      <c r="F15" s="125">
        <f t="shared" si="3"/>
        <v>0</v>
      </c>
      <c r="G15" s="125">
        <f t="shared" si="3"/>
        <v>0</v>
      </c>
      <c r="H15" s="125">
        <f t="shared" si="3"/>
        <v>6460598.814531249</v>
      </c>
      <c r="I15" s="125">
        <f t="shared" si="3"/>
        <v>13179621.581643747</v>
      </c>
      <c r="J15" s="125">
        <f t="shared" si="3"/>
        <v>13443214.013276622</v>
      </c>
      <c r="K15" s="125">
        <f t="shared" si="3"/>
        <v>13712078.293542158</v>
      </c>
      <c r="L15" s="125">
        <f t="shared" si="3"/>
        <v>13986319.859413</v>
      </c>
      <c r="M15" s="125">
        <f t="shared" si="3"/>
        <v>14266046.256601257</v>
      </c>
      <c r="N15" s="125">
        <f t="shared" si="3"/>
        <v>14551367.181733282</v>
      </c>
      <c r="O15" s="125">
        <f t="shared" si="3"/>
        <v>14842394.525367949</v>
      </c>
    </row>
    <row r="16" spans="2:16" ht="9" customHeight="1">
      <c r="B16" s="134" t="s">
        <v>218</v>
      </c>
      <c r="C16" s="139"/>
      <c r="D16" s="124">
        <f>IF(INDEX(cockpit!$J$6:$X$16,MATCH($D6,cockpit!$J$6:$J$16,0),MATCH($B16,cockpit!$J$6:$X$6,0))="Y",D17,0)</f>
        <v>10</v>
      </c>
      <c r="E16" s="125">
        <f>-IF($D16&gt;0,E17,0)</f>
        <v>0</v>
      </c>
      <c r="F16" s="125">
        <f t="shared" ref="F16:O16" si="4">-IF($D16&gt;0,F17,0)</f>
        <v>0</v>
      </c>
      <c r="G16" s="125">
        <f t="shared" si="4"/>
        <v>0</v>
      </c>
      <c r="H16" s="125">
        <f t="shared" si="4"/>
        <v>4272927.3777599996</v>
      </c>
      <c r="I16" s="125">
        <f t="shared" si="4"/>
        <v>4358385.9253151985</v>
      </c>
      <c r="J16" s="125">
        <f t="shared" si="4"/>
        <v>4445553.643821503</v>
      </c>
      <c r="K16" s="125">
        <f t="shared" si="4"/>
        <v>4534464.7166979341</v>
      </c>
      <c r="L16" s="125">
        <f t="shared" si="4"/>
        <v>4625154.0110318922</v>
      </c>
      <c r="M16" s="125">
        <f t="shared" si="4"/>
        <v>4717657.09125253</v>
      </c>
      <c r="N16" s="125">
        <f t="shared" si="4"/>
        <v>4812010.2330775801</v>
      </c>
      <c r="O16" s="125">
        <f t="shared" si="4"/>
        <v>4908250.437739132</v>
      </c>
    </row>
    <row r="17" spans="2:15" ht="9" customHeight="1">
      <c r="B17" s="134" t="s">
        <v>124</v>
      </c>
      <c r="C17" s="139"/>
      <c r="D17" s="124">
        <f>INDEX(cockpit!$J$6:$X$16,MATCH($D6,cockpit!$J$6:$J$16,0),MATCH($B17,cockpit!$J$6:$X$6,0))</f>
        <v>10</v>
      </c>
      <c r="E17" s="126">
        <f t="shared" ref="E17:O17" si="5">-IF($D17&gt;1,E10*($D17*((1+Inflation)^(E$2-1))),E15*(1-$D17))</f>
        <v>0</v>
      </c>
      <c r="F17" s="126">
        <f t="shared" si="5"/>
        <v>0</v>
      </c>
      <c r="G17" s="126">
        <f t="shared" si="5"/>
        <v>0</v>
      </c>
      <c r="H17" s="126">
        <f t="shared" si="5"/>
        <v>-4272927.3777599996</v>
      </c>
      <c r="I17" s="126">
        <f t="shared" si="5"/>
        <v>-4358385.9253151985</v>
      </c>
      <c r="J17" s="126">
        <f t="shared" si="5"/>
        <v>-4445553.643821503</v>
      </c>
      <c r="K17" s="126">
        <f t="shared" si="5"/>
        <v>-4534464.7166979341</v>
      </c>
      <c r="L17" s="126">
        <f t="shared" si="5"/>
        <v>-4625154.0110318922</v>
      </c>
      <c r="M17" s="126">
        <f t="shared" si="5"/>
        <v>-4717657.09125253</v>
      </c>
      <c r="N17" s="126">
        <f t="shared" si="5"/>
        <v>-4812010.2330775801</v>
      </c>
      <c r="O17" s="126">
        <f t="shared" si="5"/>
        <v>-4908250.437739132</v>
      </c>
    </row>
    <row r="18" spans="2:15" ht="9" customHeight="1">
      <c r="B18" s="135" t="s">
        <v>168</v>
      </c>
      <c r="C18" s="139"/>
      <c r="D18" s="117"/>
      <c r="E18" s="125">
        <f>SUM(E15:E17)</f>
        <v>0</v>
      </c>
      <c r="F18" s="125">
        <f t="shared" ref="F18:O18" si="6">SUM(F15:F17)</f>
        <v>0</v>
      </c>
      <c r="G18" s="125">
        <f t="shared" si="6"/>
        <v>0</v>
      </c>
      <c r="H18" s="125">
        <f t="shared" si="6"/>
        <v>6460598.814531249</v>
      </c>
      <c r="I18" s="125">
        <f t="shared" si="6"/>
        <v>13179621.581643749</v>
      </c>
      <c r="J18" s="125">
        <f t="shared" si="6"/>
        <v>13443214.013276622</v>
      </c>
      <c r="K18" s="125">
        <f t="shared" si="6"/>
        <v>13712078.293542158</v>
      </c>
      <c r="L18" s="125">
        <f t="shared" si="6"/>
        <v>13986319.859413002</v>
      </c>
      <c r="M18" s="125">
        <f t="shared" si="6"/>
        <v>14266046.256601257</v>
      </c>
      <c r="N18" s="125">
        <f t="shared" si="6"/>
        <v>14551367.181733282</v>
      </c>
      <c r="O18" s="125">
        <f t="shared" si="6"/>
        <v>14842394.525367947</v>
      </c>
    </row>
    <row r="19" spans="2:15" ht="9" customHeight="1">
      <c r="B19" s="120"/>
      <c r="C19" s="139"/>
      <c r="D19" s="117"/>
      <c r="E19" s="217">
        <f>IFERROR(E18/SUM(E15:E16),0)</f>
        <v>0</v>
      </c>
      <c r="F19" s="217">
        <f t="shared" ref="F19:O19" si="7">IFERROR(F18/SUM(F15:F16),0)</f>
        <v>0</v>
      </c>
      <c r="G19" s="217">
        <f t="shared" si="7"/>
        <v>0</v>
      </c>
      <c r="H19" s="217">
        <f t="shared" si="7"/>
        <v>0.60190832898616398</v>
      </c>
      <c r="I19" s="217">
        <f t="shared" si="7"/>
        <v>0.75148910595540441</v>
      </c>
      <c r="J19" s="217">
        <f t="shared" si="7"/>
        <v>0.75148910595540419</v>
      </c>
      <c r="K19" s="217">
        <f t="shared" si="7"/>
        <v>0.75148910595540419</v>
      </c>
      <c r="L19" s="217">
        <f t="shared" si="7"/>
        <v>0.7514891059554043</v>
      </c>
      <c r="M19" s="217">
        <f t="shared" si="7"/>
        <v>0.7514891059554043</v>
      </c>
      <c r="N19" s="217">
        <f t="shared" si="7"/>
        <v>0.7514891059554043</v>
      </c>
      <c r="O19" s="217">
        <f t="shared" si="7"/>
        <v>0.7514891059554043</v>
      </c>
    </row>
    <row r="20" spans="2:15" ht="9" customHeight="1">
      <c r="B20" s="134" t="s">
        <v>169</v>
      </c>
      <c r="C20" s="139"/>
      <c r="D20" s="128">
        <f>INDEX(cockpit!$J$6:$X$16,MATCH($D6,cockpit!$J$6:$J$16,0),MATCH($B20,cockpit!$J$6:$X$6,0))</f>
        <v>0.05</v>
      </c>
      <c r="E20" s="125">
        <f>-E11*$D20</f>
        <v>0</v>
      </c>
      <c r="F20" s="125">
        <f t="shared" ref="F20:O20" si="8">-F11*$D20</f>
        <v>0</v>
      </c>
      <c r="G20" s="125">
        <f t="shared" si="8"/>
        <v>0</v>
      </c>
      <c r="H20" s="125">
        <f t="shared" si="8"/>
        <v>-21435.371999999999</v>
      </c>
      <c r="I20" s="125">
        <f t="shared" si="8"/>
        <v>-21435.371999999999</v>
      </c>
      <c r="J20" s="125">
        <f t="shared" si="8"/>
        <v>-21435.371999999999</v>
      </c>
      <c r="K20" s="125">
        <f t="shared" si="8"/>
        <v>-21435.371999999999</v>
      </c>
      <c r="L20" s="125">
        <f t="shared" si="8"/>
        <v>-21435.371999999999</v>
      </c>
      <c r="M20" s="125">
        <f t="shared" si="8"/>
        <v>-21435.371999999999</v>
      </c>
      <c r="N20" s="125">
        <f t="shared" si="8"/>
        <v>-21435.371999999999</v>
      </c>
      <c r="O20" s="125">
        <f t="shared" si="8"/>
        <v>-21435.371999999999</v>
      </c>
    </row>
    <row r="21" spans="2:15" ht="9" customHeight="1">
      <c r="B21" s="121" t="s">
        <v>163</v>
      </c>
      <c r="C21" s="139"/>
      <c r="D21" s="128">
        <f>INDEX(cockpit!$J$6:$X$16,MATCH($D6,cockpit!$J$6:$J$16,0),MATCH($B21,cockpit!$J$6:$X$6,0))</f>
        <v>0.05</v>
      </c>
      <c r="E21" s="126">
        <f>-E13*$D21</f>
        <v>0</v>
      </c>
      <c r="F21" s="126">
        <f t="shared" ref="F21:O21" si="9">-F13*$D21</f>
        <v>0</v>
      </c>
      <c r="G21" s="126">
        <f t="shared" si="9"/>
        <v>0</v>
      </c>
      <c r="H21" s="126">
        <f t="shared" si="9"/>
        <v>-10181.801699999998</v>
      </c>
      <c r="I21" s="126">
        <f t="shared" si="9"/>
        <v>-20363.603399999996</v>
      </c>
      <c r="J21" s="126">
        <f t="shared" si="9"/>
        <v>-20363.603399999996</v>
      </c>
      <c r="K21" s="126">
        <f t="shared" si="9"/>
        <v>-20363.603399999996</v>
      </c>
      <c r="L21" s="126">
        <f t="shared" si="9"/>
        <v>-20363.603399999996</v>
      </c>
      <c r="M21" s="126">
        <f t="shared" si="9"/>
        <v>-20363.603399999996</v>
      </c>
      <c r="N21" s="126">
        <f t="shared" si="9"/>
        <v>-20363.603399999996</v>
      </c>
      <c r="O21" s="126">
        <f t="shared" si="9"/>
        <v>-20363.603399999996</v>
      </c>
    </row>
    <row r="22" spans="2:15" ht="9" customHeight="1">
      <c r="B22" s="127" t="s">
        <v>196</v>
      </c>
      <c r="C22" s="139"/>
      <c r="D22" s="128"/>
      <c r="E22" s="129">
        <f>SUM(E20:E21)</f>
        <v>0</v>
      </c>
      <c r="F22" s="129">
        <f t="shared" ref="F22:O22" si="10">SUM(F20:F21)</f>
        <v>0</v>
      </c>
      <c r="G22" s="129">
        <f t="shared" si="10"/>
        <v>0</v>
      </c>
      <c r="H22" s="129">
        <f t="shared" si="10"/>
        <v>-31617.173699999999</v>
      </c>
      <c r="I22" s="129">
        <f t="shared" si="10"/>
        <v>-41798.975399999996</v>
      </c>
      <c r="J22" s="129">
        <f t="shared" si="10"/>
        <v>-41798.975399999996</v>
      </c>
      <c r="K22" s="129">
        <f t="shared" si="10"/>
        <v>-41798.975399999996</v>
      </c>
      <c r="L22" s="129">
        <f t="shared" si="10"/>
        <v>-41798.975399999996</v>
      </c>
      <c r="M22" s="129">
        <f t="shared" si="10"/>
        <v>-41798.975399999996</v>
      </c>
      <c r="N22" s="129">
        <f t="shared" si="10"/>
        <v>-41798.975399999996</v>
      </c>
      <c r="O22" s="129">
        <f t="shared" si="10"/>
        <v>-41798.975399999996</v>
      </c>
    </row>
    <row r="23" spans="2:15" ht="9" customHeight="1">
      <c r="B23" s="121"/>
      <c r="C23" s="139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2:15" ht="9" customHeight="1">
      <c r="B24" s="121" t="s">
        <v>277</v>
      </c>
      <c r="C24" s="139"/>
      <c r="D24" s="117"/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0</v>
      </c>
      <c r="N24" s="251">
        <v>0</v>
      </c>
      <c r="O24" s="251">
        <v>0</v>
      </c>
    </row>
    <row r="25" spans="2:15" ht="9" customHeight="1">
      <c r="B25" s="121" t="s">
        <v>280</v>
      </c>
      <c r="C25" s="139"/>
      <c r="D25" s="117"/>
      <c r="E25" s="251">
        <v>0</v>
      </c>
      <c r="F25" s="251">
        <v>0</v>
      </c>
      <c r="G25" s="250">
        <f>-'acq-demo-repur'!U9</f>
        <v>-630245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v>0</v>
      </c>
      <c r="N25" s="251">
        <v>0</v>
      </c>
      <c r="O25" s="251">
        <v>0</v>
      </c>
    </row>
    <row r="26" spans="2:15" ht="9" customHeight="1">
      <c r="B26" s="121" t="s">
        <v>171</v>
      </c>
      <c r="C26" s="139"/>
      <c r="D26" s="124">
        <f>(RetailconstructioncostPSF*(1-$K5))+((RetailconstructioncostPSF*(1+premiumprices)*$K5))</f>
        <v>143.27837280086675</v>
      </c>
      <c r="E26" s="125">
        <f>-IF(OR(E$2=$H5,E$2=$H6,AND(E$2&gt;$H5,E$2&lt;$H6)),(INDEX(summary!$A$2:$D$24,MATCH($D6,summary!$A$2:$A$24,0),MATCH($D5,summary!$A$2:$D$2,0)))/Constructiontime)*($D26*((1+Inflation)^(E$2-1)))*(1+Developerfee)</f>
        <v>0</v>
      </c>
      <c r="F26" s="125">
        <f>-IF(OR(F$2=$H5,F$2=$H6,AND(F$2&gt;$H5,F$2&lt;$H6)),(INDEX(summary!$A$2:$D$24,MATCH($D6,summary!$A$2:$A$24,0),MATCH($D5,summary!$A$2:$D$2,0)))/Constructiontime)*($D26*((1+Inflation)^(F$2-1)))*(1+Developerfee)</f>
        <v>-33835582.182284996</v>
      </c>
      <c r="G26" s="125">
        <f>-IF(OR(G$2=$H5,G$2=$H6,AND(G$2&gt;$H5,G$2&lt;$H6)),(INDEX(summary!$A$2:$D$24,MATCH($D6,summary!$A$2:$A$24,0),MATCH($D5,summary!$A$2:$D$2,0)))/Constructiontime)*($D26*((1+Inflation)^(G$2-1)))*(1+Developerfee)</f>
        <v>-34512293.8259307</v>
      </c>
      <c r="H26" s="125">
        <f>-IF(OR(H$2=$H5,H$2=$H6,AND(H$2&gt;$H5,H$2&lt;$H6)),(INDEX(summary!$A$2:$D$24,MATCH($D6,summary!$A$2:$A$24,0),MATCH($D5,summary!$A$2:$D$2,0)))/Constructiontime)*($D26*((1+Inflation)^(H$2-1)))*(1+Developerfee)</f>
        <v>0</v>
      </c>
      <c r="I26" s="125">
        <f>-IF(OR(I$2=$H5,I$2=$H6,AND(I$2&gt;$H5,I$2&lt;$H6)),(INDEX(summary!$A$2:$D$24,MATCH($D6,summary!$A$2:$A$24,0),MATCH($D5,summary!$A$2:$D$2,0)))/Constructiontime)*($D26*((1+Inflation)^(I$2-1)))*(1+Developerfee)</f>
        <v>0</v>
      </c>
      <c r="J26" s="125">
        <f>-IF(OR(J$2=$H5,J$2=$H6,AND(J$2&gt;$H5,J$2&lt;$H6)),(INDEX(summary!$A$2:$D$24,MATCH($D6,summary!$A$2:$A$24,0),MATCH($D5,summary!$A$2:$D$2,0)))/Constructiontime)*($D26*((1+Inflation)^(J$2-1)))*(1+Developerfee)</f>
        <v>0</v>
      </c>
      <c r="K26" s="125">
        <f>-IF(OR(K$2=$H5,K$2=$H6,AND(K$2&gt;$H5,K$2&lt;$H6)),(INDEX(summary!$A$2:$D$24,MATCH($D6,summary!$A$2:$A$24,0),MATCH($D5,summary!$A$2:$D$2,0)))/Constructiontime)*($D26*((1+Inflation)^(K$2-1)))*(1+Developerfee)</f>
        <v>0</v>
      </c>
      <c r="L26" s="125">
        <f>-IF(OR(L$2=$H5,L$2=$H6,AND(L$2&gt;$H5,L$2&lt;$H6)),(INDEX(summary!$A$2:$D$24,MATCH($D6,summary!$A$2:$A$24,0),MATCH($D5,summary!$A$2:$D$2,0)))/Constructiontime)*($D26*((1+Inflation)^(L$2-1)))*(1+Developerfee)</f>
        <v>0</v>
      </c>
      <c r="M26" s="125">
        <f>-IF(OR(M$2=$H5,M$2=$H6,AND(M$2&gt;$H5,M$2&lt;$H6)),(INDEX(summary!$A$2:$D$24,MATCH($D6,summary!$A$2:$A$24,0),MATCH($D5,summary!$A$2:$D$2,0)))/Constructiontime)*($D26*((1+Inflation)^(M$2-1)))*(1+Developerfee)</f>
        <v>0</v>
      </c>
      <c r="N26" s="125">
        <f>-IF(OR(N$2=$H5,N$2=$H6,AND(N$2&gt;$H5,N$2&lt;$H6)),(INDEX(summary!$A$2:$D$24,MATCH($D6,summary!$A$2:$A$24,0),MATCH($D5,summary!$A$2:$D$2,0)))/Constructiontime)*($D26*((1+Inflation)^(N$2-1)))*(1+Developerfee)</f>
        <v>0</v>
      </c>
      <c r="O26" s="125">
        <f>-IF(OR(O$2=$H5,O$2=$H6,AND(O$2&gt;$H5,O$2&lt;$H6)),(INDEX(summary!$A$2:$D$24,MATCH($D6,summary!$A$2:$A$24,0),MATCH($D5,summary!$A$2:$D$2,0)))/Constructiontime)*($D26*((1+Inflation)^(O$2-1)))*(1+Developerfee)</f>
        <v>0</v>
      </c>
    </row>
    <row r="27" spans="2:15" ht="9" customHeight="1">
      <c r="B27" s="121" t="s">
        <v>198</v>
      </c>
      <c r="C27" s="139" t="s">
        <v>190</v>
      </c>
      <c r="D27" s="138">
        <f>(INDEX(cockpit!$J$6:$X$16,MATCH($D6,cockpit!$J$6:$J$16,0),MATCH($C27,cockpit!$J$6:$X$6,0))*(1-$K5))+((INDEX(cockpit!$J$6:$X$16,MATCH($D6,cockpit!$J$6:$J$16,0),MATCH($C27,cockpit!$J$6:$X$6,0))-(Premiumexitcaprate))*$K5)</f>
        <v>6.8466967999839493E-2</v>
      </c>
      <c r="E27" s="126">
        <f t="shared" ref="E27:O27" si="11">IF(E$2=dispositionyear,E18/$D27,0)*(1-Closingcosts)</f>
        <v>0</v>
      </c>
      <c r="F27" s="126">
        <f t="shared" si="11"/>
        <v>0</v>
      </c>
      <c r="G27" s="126">
        <f t="shared" si="11"/>
        <v>0</v>
      </c>
      <c r="H27" s="126">
        <f t="shared" si="11"/>
        <v>0</v>
      </c>
      <c r="I27" s="126">
        <f t="shared" si="11"/>
        <v>0</v>
      </c>
      <c r="J27" s="126">
        <f t="shared" si="11"/>
        <v>0</v>
      </c>
      <c r="K27" s="126">
        <f t="shared" si="11"/>
        <v>0</v>
      </c>
      <c r="L27" s="126">
        <f t="shared" si="11"/>
        <v>0</v>
      </c>
      <c r="M27" s="126">
        <f t="shared" si="11"/>
        <v>0</v>
      </c>
      <c r="N27" s="126">
        <f t="shared" si="11"/>
        <v>0</v>
      </c>
      <c r="O27" s="126">
        <f t="shared" si="11"/>
        <v>211362282.93719202</v>
      </c>
    </row>
    <row r="28" spans="2:15" ht="9" customHeight="1">
      <c r="B28" s="127" t="s">
        <v>197</v>
      </c>
      <c r="C28" s="139"/>
      <c r="D28" s="123"/>
      <c r="E28" s="129">
        <f>SUM(E26:E27)</f>
        <v>0</v>
      </c>
      <c r="F28" s="129">
        <f t="shared" ref="F28:O28" si="12">SUM(F26:F27)</f>
        <v>-33835582.182284996</v>
      </c>
      <c r="G28" s="129">
        <f t="shared" si="12"/>
        <v>-34512293.8259307</v>
      </c>
      <c r="H28" s="129">
        <f t="shared" si="12"/>
        <v>0</v>
      </c>
      <c r="I28" s="129">
        <f t="shared" si="12"/>
        <v>0</v>
      </c>
      <c r="J28" s="129">
        <f t="shared" si="12"/>
        <v>0</v>
      </c>
      <c r="K28" s="129">
        <f t="shared" si="12"/>
        <v>0</v>
      </c>
      <c r="L28" s="129">
        <f t="shared" si="12"/>
        <v>0</v>
      </c>
      <c r="M28" s="129">
        <f t="shared" si="12"/>
        <v>0</v>
      </c>
      <c r="N28" s="129">
        <f t="shared" si="12"/>
        <v>0</v>
      </c>
      <c r="O28" s="129">
        <f t="shared" si="12"/>
        <v>211362282.93719202</v>
      </c>
    </row>
    <row r="29" spans="2:15" ht="9" customHeight="1">
      <c r="B29" s="121"/>
      <c r="C29" s="139"/>
      <c r="D29" s="123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</row>
    <row r="30" spans="2:15" ht="9" customHeight="1">
      <c r="B30" s="127" t="s">
        <v>170</v>
      </c>
      <c r="C30" s="127"/>
      <c r="D30" s="130">
        <f ca="1">IRR(OFFSET(E30,0,0,1,Investmenthorizon+1))</f>
        <v>0.24609104653842895</v>
      </c>
      <c r="E30" s="131">
        <f>SUM(E18,E22,E28)</f>
        <v>0</v>
      </c>
      <c r="F30" s="131">
        <f t="shared" ref="F30:O30" si="13">SUM(F18,F22,F28)</f>
        <v>-33835582.182284996</v>
      </c>
      <c r="G30" s="131">
        <f t="shared" si="13"/>
        <v>-34512293.8259307</v>
      </c>
      <c r="H30" s="131">
        <f t="shared" si="13"/>
        <v>6428981.6408312488</v>
      </c>
      <c r="I30" s="131">
        <f t="shared" si="13"/>
        <v>13137822.606243748</v>
      </c>
      <c r="J30" s="131">
        <f t="shared" si="13"/>
        <v>13401415.037876621</v>
      </c>
      <c r="K30" s="131">
        <f t="shared" si="13"/>
        <v>13670279.318142157</v>
      </c>
      <c r="L30" s="131">
        <f t="shared" si="13"/>
        <v>13944520.884013001</v>
      </c>
      <c r="M30" s="131">
        <f t="shared" si="13"/>
        <v>14224247.281201256</v>
      </c>
      <c r="N30" s="131">
        <f t="shared" si="13"/>
        <v>14509568.206333281</v>
      </c>
      <c r="O30" s="131">
        <f t="shared" si="13"/>
        <v>226162878.48715997</v>
      </c>
    </row>
    <row r="31" spans="2:15" ht="9" customHeight="1" thickBot="1"/>
    <row r="32" spans="2:15" ht="9" customHeight="1">
      <c r="B32" s="144" t="s">
        <v>199</v>
      </c>
      <c r="C32" s="145"/>
      <c r="D32" s="145"/>
      <c r="E32" s="156"/>
      <c r="F32" s="157"/>
      <c r="G32" s="157"/>
      <c r="H32" s="157"/>
      <c r="I32" s="157"/>
      <c r="J32" s="157"/>
      <c r="K32" s="146"/>
      <c r="L32" s="119"/>
      <c r="M32" s="119"/>
      <c r="N32" s="119"/>
      <c r="O32" s="119"/>
    </row>
    <row r="33" spans="2:15" ht="9" customHeight="1">
      <c r="B33" s="147" t="s">
        <v>89</v>
      </c>
      <c r="C33" s="142"/>
      <c r="D33" s="155">
        <v>2</v>
      </c>
      <c r="E33" s="140"/>
      <c r="F33" s="140"/>
      <c r="G33" s="141" t="s">
        <v>205</v>
      </c>
      <c r="H33" s="161">
        <f>Phase2begin</f>
        <v>3</v>
      </c>
      <c r="I33" s="140"/>
      <c r="J33" s="141" t="s">
        <v>202</v>
      </c>
      <c r="K33" s="158">
        <f>summary!AH15</f>
        <v>0.41598787837373857</v>
      </c>
      <c r="L33" s="117"/>
      <c r="M33" s="117"/>
      <c r="N33" s="117"/>
      <c r="O33" s="117"/>
    </row>
    <row r="34" spans="2:15" ht="9" customHeight="1">
      <c r="B34" s="147" t="s">
        <v>94</v>
      </c>
      <c r="C34" s="142"/>
      <c r="D34" s="152" t="s">
        <v>142</v>
      </c>
      <c r="E34" s="140"/>
      <c r="F34" s="140"/>
      <c r="G34" s="141" t="s">
        <v>206</v>
      </c>
      <c r="H34" s="161">
        <f>Phase2end</f>
        <v>4</v>
      </c>
      <c r="I34" s="140"/>
      <c r="J34" s="140"/>
      <c r="K34" s="148"/>
      <c r="L34" s="117"/>
      <c r="M34" s="117"/>
      <c r="N34" s="117"/>
      <c r="O34" s="117"/>
    </row>
    <row r="35" spans="2:15" ht="9" customHeight="1" thickBot="1">
      <c r="B35" s="159"/>
      <c r="C35" s="160"/>
      <c r="D35" s="160"/>
      <c r="E35" s="160"/>
      <c r="F35" s="160"/>
      <c r="G35" s="150" t="s">
        <v>200</v>
      </c>
      <c r="H35" s="153">
        <f>Phase2open</f>
        <v>5</v>
      </c>
      <c r="I35" s="160"/>
      <c r="J35" s="160"/>
      <c r="K35" s="149"/>
      <c r="L35" s="117"/>
      <c r="M35" s="117"/>
      <c r="N35" s="117"/>
      <c r="O35" s="117"/>
    </row>
    <row r="36" spans="2:15" ht="9" customHeight="1">
      <c r="B36" s="117"/>
      <c r="C36" s="136"/>
      <c r="D36" s="120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2:15" ht="9" customHeight="1">
      <c r="B37" s="121" t="s">
        <v>183</v>
      </c>
      <c r="C37" s="121"/>
      <c r="D37" s="117"/>
      <c r="E37" s="122">
        <f>IF(OR(E$2=$H35,E$2&gt;$H35),INDEX(summary!$A$2:$D$24,MATCH($D34,summary!$A$2:$A$24,0),MATCH($D33,summary!$A$2:$D$2,0)),0)</f>
        <v>0</v>
      </c>
      <c r="F37" s="122">
        <f>IF(OR(F$2=$H35,F$2&gt;$H35),INDEX(summary!$A$2:$D$24,MATCH($D34,summary!$A$2:$A$24,0),MATCH($D33,summary!$A$2:$D$2,0)),0)</f>
        <v>0</v>
      </c>
      <c r="G37" s="122">
        <f>IF(OR(G$2=$H35,G$2&gt;$H35),INDEX(summary!$A$2:$D$24,MATCH($D34,summary!$A$2:$A$24,0),MATCH($D33,summary!$A$2:$D$2,0)),0)</f>
        <v>0</v>
      </c>
      <c r="H37" s="122">
        <f>IF(OR(H$2=$H35,H$2&gt;$H35),INDEX(summary!$A$2:$D$24,MATCH($D34,summary!$A$2:$A$24,0),MATCH($D33,summary!$A$2:$D$2,0)),0)</f>
        <v>0</v>
      </c>
      <c r="I37" s="122">
        <f>IF(OR(I$2=$H35,I$2&gt;$H35),INDEX(summary!$A$2:$D$24,MATCH($D34,summary!$A$2:$A$24,0),MATCH($D33,summary!$A$2:$D$2,0)),0)</f>
        <v>0</v>
      </c>
      <c r="J37" s="122">
        <f>IF(OR(J$2=$H35,J$2&gt;$H35),INDEX(summary!$A$2:$D$24,MATCH($D34,summary!$A$2:$A$24,0),MATCH($D33,summary!$A$2:$D$2,0)),0)</f>
        <v>230901.69770000002</v>
      </c>
      <c r="K37" s="122">
        <f>IF(OR(K$2=$H35,K$2&gt;$H35),INDEX(summary!$A$2:$D$24,MATCH($D34,summary!$A$2:$A$24,0),MATCH($D33,summary!$A$2:$D$2,0)),0)</f>
        <v>230901.69770000002</v>
      </c>
      <c r="L37" s="122">
        <f>IF(OR(L$2=$H35,L$2&gt;$H35),INDEX(summary!$A$2:$D$24,MATCH($D34,summary!$A$2:$A$24,0),MATCH($D33,summary!$A$2:$D$2,0)),0)</f>
        <v>230901.69770000002</v>
      </c>
      <c r="M37" s="122">
        <f>IF(OR(M$2=$H35,M$2&gt;$H35),INDEX(summary!$A$2:$D$24,MATCH($D34,summary!$A$2:$A$24,0),MATCH($D33,summary!$A$2:$D$2,0)),0)</f>
        <v>230901.69770000002</v>
      </c>
      <c r="N37" s="122">
        <f>IF(OR(N$2=$H35,N$2&gt;$H35),INDEX(summary!$A$2:$D$24,MATCH($D34,summary!$A$2:$A$24,0),MATCH($D33,summary!$A$2:$D$2,0)),0)</f>
        <v>230901.69770000002</v>
      </c>
      <c r="O37" s="122">
        <f>IF(OR(O$2=$H35,O$2&gt;$H35),INDEX(summary!$A$2:$D$24,MATCH($D34,summary!$A$2:$A$24,0),MATCH($D33,summary!$A$2:$D$2,0)),0)</f>
        <v>230901.69770000002</v>
      </c>
    </row>
    <row r="38" spans="2:15" ht="9" customHeight="1">
      <c r="B38" s="121" t="s">
        <v>195</v>
      </c>
      <c r="C38" s="137" t="s">
        <v>192</v>
      </c>
      <c r="D38" s="123">
        <f>INDEX(cockpit!$J$6:$X$16,MATCH($D34,cockpit!$J$6:$J$16,0),MATCH($C$11,cockpit!$J$6:$X$6,0))</f>
        <v>0</v>
      </c>
      <c r="E38" s="122">
        <f>E37*(1-$D38)</f>
        <v>0</v>
      </c>
      <c r="F38" s="122">
        <f t="shared" ref="F38:O38" si="14">F37*(1-$D38)</f>
        <v>0</v>
      </c>
      <c r="G38" s="122">
        <f t="shared" si="14"/>
        <v>0</v>
      </c>
      <c r="H38" s="122">
        <f t="shared" si="14"/>
        <v>0</v>
      </c>
      <c r="I38" s="122">
        <f t="shared" si="14"/>
        <v>0</v>
      </c>
      <c r="J38" s="122">
        <f t="shared" si="14"/>
        <v>230901.69770000002</v>
      </c>
      <c r="K38" s="122">
        <f t="shared" si="14"/>
        <v>230901.69770000002</v>
      </c>
      <c r="L38" s="122">
        <f t="shared" si="14"/>
        <v>230901.69770000002</v>
      </c>
      <c r="M38" s="122">
        <f t="shared" si="14"/>
        <v>230901.69770000002</v>
      </c>
      <c r="N38" s="122">
        <f t="shared" si="14"/>
        <v>230901.69770000002</v>
      </c>
      <c r="O38" s="122">
        <f t="shared" si="14"/>
        <v>230901.69770000002</v>
      </c>
    </row>
    <row r="39" spans="2:15" ht="9" customHeight="1">
      <c r="B39" s="121" t="s">
        <v>181</v>
      </c>
      <c r="C39" s="137" t="s">
        <v>153</v>
      </c>
      <c r="D39" s="138">
        <f>Officerampup</f>
        <v>0.28333333333333333</v>
      </c>
      <c r="E39" s="122">
        <f>IF(OR(E$2=$H35,AND(E$2&gt;$H35,E$2&lt;(SUM($H35,INDEX(cockpit!$J$6:$X$16,MATCH($D34,cockpit!$J$6:$J$16,0),MATCH($C$12,cockpit!$J$6:$X$6,0)))))),E38*$D39,0)</f>
        <v>0</v>
      </c>
      <c r="F39" s="122">
        <f>IF(OR(F$2=$H35,AND(F$2&gt;$H35,F$2&lt;(SUM($H35,INDEX(cockpit!$J$6:$X$16,MATCH($D34,cockpit!$J$6:$J$16,0),MATCH($C$12,cockpit!$J$6:$X$6,0)))))),F38*$D39,0)</f>
        <v>0</v>
      </c>
      <c r="G39" s="122">
        <f>IF(OR(G$2=$H35,AND(G$2&gt;$H35,G$2&lt;(SUM($H35,INDEX(cockpit!$J$6:$X$16,MATCH($D34,cockpit!$J$6:$J$16,0),MATCH($C$12,cockpit!$J$6:$X$6,0)))))),G38*$D39,0)</f>
        <v>0</v>
      </c>
      <c r="H39" s="122">
        <f>IF(OR(H$2=$H35,AND(H$2&gt;$H35,H$2&lt;(SUM($H35,INDEX(cockpit!$J$6:$X$16,MATCH($D34,cockpit!$J$6:$J$16,0),MATCH($C$12,cockpit!$J$6:$X$6,0)))))),H38*$D39,0)</f>
        <v>0</v>
      </c>
      <c r="I39" s="122">
        <f>IF(OR(I$2=$H35,AND(I$2&gt;$H35,I$2&lt;(SUM($H35,INDEX(cockpit!$J$6:$X$16,MATCH($D34,cockpit!$J$6:$J$16,0),MATCH($C$12,cockpit!$J$6:$X$6,0)))))),I38*$D39,0)</f>
        <v>0</v>
      </c>
      <c r="J39" s="122">
        <f>IF(OR(J$2=$H35,AND(J$2&gt;$H35,J$2&lt;(SUM($H35,INDEX(cockpit!$J$6:$X$16,MATCH($D34,cockpit!$J$6:$J$16,0),MATCH($C$12,cockpit!$J$6:$X$6,0)))))),J38*$D39,0)</f>
        <v>65422.147681666669</v>
      </c>
      <c r="K39" s="122">
        <f>IF(OR(K$2=$H35,AND(K$2&gt;$H35,K$2&lt;(SUM($H35,INDEX(cockpit!$J$6:$X$16,MATCH($D34,cockpit!$J$6:$J$16,0),MATCH($C$12,cockpit!$J$6:$X$6,0)))))),K38*$D39,0)</f>
        <v>65422.147681666669</v>
      </c>
      <c r="L39" s="122">
        <f>IF(OR(L$2=$H35,AND(L$2&gt;$H35,L$2&lt;(SUM($H35,INDEX(cockpit!$J$6:$X$16,MATCH($D34,cockpit!$J$6:$J$16,0),MATCH($C$12,cockpit!$J$6:$X$6,0)))))),L38*$D39,0)</f>
        <v>0</v>
      </c>
      <c r="M39" s="122">
        <f>IF(OR(M$2=$H35,AND(M$2&gt;$H35,M$2&lt;(SUM($H35,INDEX(cockpit!$J$6:$X$16,MATCH($D34,cockpit!$J$6:$J$16,0),MATCH($C$12,cockpit!$J$6:$X$6,0)))))),M38*$D39,0)</f>
        <v>0</v>
      </c>
      <c r="N39" s="122">
        <f>IF(OR(N$2=$H35,AND(N$2&gt;$H35,N$2&lt;(SUM($H35,INDEX(cockpit!$J$6:$X$16,MATCH($D34,cockpit!$J$6:$J$16,0),MATCH($C$12,cockpit!$J$6:$X$6,0)))))),N38*$D39,0)</f>
        <v>0</v>
      </c>
      <c r="O39" s="122">
        <f>IF(OR(O$2=$H35,AND(O$2&gt;$H35,O$2&lt;(SUM($H35,INDEX(cockpit!$J$6:$X$16,MATCH($D34,cockpit!$J$6:$J$16,0),MATCH($C$12,cockpit!$J$6:$X$6,0)))))),O38*$D39,0)</f>
        <v>0</v>
      </c>
    </row>
    <row r="40" spans="2:15" ht="9" customHeight="1">
      <c r="B40" s="134" t="s">
        <v>182</v>
      </c>
      <c r="C40" s="139"/>
      <c r="D40" s="117"/>
      <c r="E40" s="122">
        <f>SUM($E39:E39)</f>
        <v>0</v>
      </c>
      <c r="F40" s="122">
        <f>SUM($E39:F39)</f>
        <v>0</v>
      </c>
      <c r="G40" s="122">
        <f>SUM($E39:G39)</f>
        <v>0</v>
      </c>
      <c r="H40" s="122">
        <f>SUM($E39:H39)</f>
        <v>0</v>
      </c>
      <c r="I40" s="122">
        <f>SUM($E39:I39)</f>
        <v>0</v>
      </c>
      <c r="J40" s="122">
        <f>SUM($E39:J39)</f>
        <v>65422.147681666669</v>
      </c>
      <c r="K40" s="122">
        <f>SUM($E39:K39)</f>
        <v>130844.29536333334</v>
      </c>
      <c r="L40" s="122">
        <f>SUM($E39:L39)</f>
        <v>130844.29536333334</v>
      </c>
      <c r="M40" s="122">
        <f>SUM($E39:M39)</f>
        <v>130844.29536333334</v>
      </c>
      <c r="N40" s="122">
        <f>SUM($E39:N39)</f>
        <v>130844.29536333334</v>
      </c>
      <c r="O40" s="122">
        <f>SUM($E39:O39)</f>
        <v>130844.29536333334</v>
      </c>
    </row>
    <row r="41" spans="2:15" ht="9" customHeight="1">
      <c r="B41" s="120"/>
      <c r="C41" s="139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2:15" ht="9" customHeight="1">
      <c r="B42" s="134" t="s">
        <v>167</v>
      </c>
      <c r="C42" s="139"/>
      <c r="D42" s="124">
        <f>(OfficemarketratePSF*(1-$K33))+((OfficemarketratePSF*(1+premiumprices)*$K33))</f>
        <v>32.495927270242433</v>
      </c>
      <c r="E42" s="125">
        <f t="shared" ref="E42:O42" si="15">E40*($D42*((1+Inflation)^(E$2-1)))</f>
        <v>0</v>
      </c>
      <c r="F42" s="125">
        <f t="shared" si="15"/>
        <v>0</v>
      </c>
      <c r="G42" s="125">
        <f t="shared" si="15"/>
        <v>0</v>
      </c>
      <c r="H42" s="125">
        <f t="shared" si="15"/>
        <v>0</v>
      </c>
      <c r="I42" s="125">
        <f t="shared" si="15"/>
        <v>0</v>
      </c>
      <c r="J42" s="125">
        <f t="shared" si="15"/>
        <v>2301200.2798674735</v>
      </c>
      <c r="K42" s="125">
        <f t="shared" si="15"/>
        <v>4694448.5709296456</v>
      </c>
      <c r="L42" s="125">
        <f t="shared" si="15"/>
        <v>4788337.5423482386</v>
      </c>
      <c r="M42" s="125">
        <f t="shared" si="15"/>
        <v>4884104.2931952029</v>
      </c>
      <c r="N42" s="125">
        <f t="shared" si="15"/>
        <v>4981786.379059107</v>
      </c>
      <c r="O42" s="125">
        <f t="shared" si="15"/>
        <v>5081422.1066402895</v>
      </c>
    </row>
    <row r="43" spans="2:15" ht="9" customHeight="1">
      <c r="B43" s="134" t="s">
        <v>218</v>
      </c>
      <c r="C43" s="139"/>
      <c r="D43" s="124">
        <f>IF(INDEX(cockpit!$J$6:$X$16,MATCH($D34,cockpit!$J$6:$J$16,0),MATCH($B43,cockpit!$J$6:$X$6,0))="Y",D44,0)</f>
        <v>10</v>
      </c>
      <c r="E43" s="125">
        <f>-IF($D43&gt;0,E44,0)</f>
        <v>0</v>
      </c>
      <c r="F43" s="125">
        <f t="shared" ref="F43:O43" si="16">-IF($D43&gt;0,F44,0)</f>
        <v>0</v>
      </c>
      <c r="G43" s="125">
        <f t="shared" si="16"/>
        <v>0</v>
      </c>
      <c r="H43" s="125">
        <f t="shared" si="16"/>
        <v>0</v>
      </c>
      <c r="I43" s="125">
        <f t="shared" si="16"/>
        <v>0</v>
      </c>
      <c r="J43" s="125">
        <f t="shared" si="16"/>
        <v>2499354.2338907802</v>
      </c>
      <c r="K43" s="125">
        <f t="shared" si="16"/>
        <v>2549341.3185685962</v>
      </c>
      <c r="L43" s="125">
        <f t="shared" si="16"/>
        <v>2600328.1449399684</v>
      </c>
      <c r="M43" s="125">
        <f t="shared" si="16"/>
        <v>2652334.7078387672</v>
      </c>
      <c r="N43" s="125">
        <f t="shared" si="16"/>
        <v>2705381.4019955425</v>
      </c>
      <c r="O43" s="125">
        <f t="shared" si="16"/>
        <v>2759489.0300354534</v>
      </c>
    </row>
    <row r="44" spans="2:15" ht="9" customHeight="1">
      <c r="B44" s="134" t="s">
        <v>124</v>
      </c>
      <c r="C44" s="139"/>
      <c r="D44" s="124">
        <f>INDEX(cockpit!$J$6:$X$16,MATCH($D34,cockpit!$J$6:$J$16,0),MATCH($B44,cockpit!$J$6:$X$6,0))</f>
        <v>10</v>
      </c>
      <c r="E44" s="126">
        <f t="shared" ref="E44:O44" si="17">-IF($D44&gt;1,E37*($D44*((1+Inflation)^(E$2-1))),E42*(1-$D44))</f>
        <v>0</v>
      </c>
      <c r="F44" s="126">
        <f t="shared" si="17"/>
        <v>0</v>
      </c>
      <c r="G44" s="126">
        <f t="shared" si="17"/>
        <v>0</v>
      </c>
      <c r="H44" s="126">
        <f t="shared" si="17"/>
        <v>0</v>
      </c>
      <c r="I44" s="126">
        <f t="shared" si="17"/>
        <v>0</v>
      </c>
      <c r="J44" s="126">
        <f t="shared" si="17"/>
        <v>-2499354.2338907802</v>
      </c>
      <c r="K44" s="126">
        <f t="shared" si="17"/>
        <v>-2549341.3185685962</v>
      </c>
      <c r="L44" s="126">
        <f t="shared" si="17"/>
        <v>-2600328.1449399684</v>
      </c>
      <c r="M44" s="126">
        <f t="shared" si="17"/>
        <v>-2652334.7078387672</v>
      </c>
      <c r="N44" s="126">
        <f t="shared" si="17"/>
        <v>-2705381.4019955425</v>
      </c>
      <c r="O44" s="126">
        <f t="shared" si="17"/>
        <v>-2759489.0300354534</v>
      </c>
    </row>
    <row r="45" spans="2:15" ht="9" customHeight="1">
      <c r="B45" s="135" t="s">
        <v>168</v>
      </c>
      <c r="C45" s="139"/>
      <c r="D45" s="117"/>
      <c r="E45" s="125">
        <f>SUM(E42:E44)</f>
        <v>0</v>
      </c>
      <c r="F45" s="125">
        <f t="shared" ref="F45:O45" si="18">SUM(F42:F44)</f>
        <v>0</v>
      </c>
      <c r="G45" s="125">
        <f t="shared" si="18"/>
        <v>0</v>
      </c>
      <c r="H45" s="125">
        <f t="shared" si="18"/>
        <v>0</v>
      </c>
      <c r="I45" s="125">
        <f t="shared" si="18"/>
        <v>0</v>
      </c>
      <c r="J45" s="125">
        <f t="shared" si="18"/>
        <v>2301200.2798674731</v>
      </c>
      <c r="K45" s="125">
        <f t="shared" si="18"/>
        <v>4694448.5709296446</v>
      </c>
      <c r="L45" s="125">
        <f t="shared" si="18"/>
        <v>4788337.5423482386</v>
      </c>
      <c r="M45" s="125">
        <f t="shared" si="18"/>
        <v>4884104.2931952029</v>
      </c>
      <c r="N45" s="125">
        <f t="shared" si="18"/>
        <v>4981786.379059107</v>
      </c>
      <c r="O45" s="125">
        <f t="shared" si="18"/>
        <v>5081422.1066402905</v>
      </c>
    </row>
    <row r="46" spans="2:15" ht="9" customHeight="1">
      <c r="B46" s="120"/>
      <c r="C46" s="139"/>
      <c r="D46" s="117"/>
      <c r="E46" s="217">
        <f t="shared" ref="E46:O46" si="19">IFERROR(E45/SUM(E42:E43),0)</f>
        <v>0</v>
      </c>
      <c r="F46" s="217">
        <f t="shared" si="19"/>
        <v>0</v>
      </c>
      <c r="G46" s="217">
        <f t="shared" si="19"/>
        <v>0</v>
      </c>
      <c r="H46" s="217">
        <f t="shared" si="19"/>
        <v>0</v>
      </c>
      <c r="I46" s="217">
        <f t="shared" si="19"/>
        <v>0</v>
      </c>
      <c r="J46" s="217">
        <f t="shared" si="19"/>
        <v>0.47936134737607877</v>
      </c>
      <c r="K46" s="217">
        <f t="shared" si="19"/>
        <v>0.64806525900695566</v>
      </c>
      <c r="L46" s="217">
        <f t="shared" si="19"/>
        <v>0.64806525900695577</v>
      </c>
      <c r="M46" s="217">
        <f t="shared" si="19"/>
        <v>0.64806525900695577</v>
      </c>
      <c r="N46" s="217">
        <f t="shared" si="19"/>
        <v>0.64806525900695577</v>
      </c>
      <c r="O46" s="217">
        <f t="shared" si="19"/>
        <v>0.64806525900695588</v>
      </c>
    </row>
    <row r="47" spans="2:15" ht="9" customHeight="1">
      <c r="B47" s="134" t="s">
        <v>169</v>
      </c>
      <c r="C47" s="139"/>
      <c r="D47" s="128">
        <f>INDEX(cockpit!$J$6:$X$16,MATCH($D34,cockpit!$J$6:$J$16,0),MATCH($B47,cockpit!$J$6:$X$6,0))</f>
        <v>0.05</v>
      </c>
      <c r="E47" s="125">
        <f>-E38*$D47</f>
        <v>0</v>
      </c>
      <c r="F47" s="125">
        <f t="shared" ref="F47:O47" si="20">-F38*$D47</f>
        <v>0</v>
      </c>
      <c r="G47" s="125">
        <f t="shared" si="20"/>
        <v>0</v>
      </c>
      <c r="H47" s="125">
        <f t="shared" si="20"/>
        <v>0</v>
      </c>
      <c r="I47" s="125">
        <f t="shared" si="20"/>
        <v>0</v>
      </c>
      <c r="J47" s="125">
        <f t="shared" si="20"/>
        <v>-11545.084885000002</v>
      </c>
      <c r="K47" s="125">
        <f t="shared" si="20"/>
        <v>-11545.084885000002</v>
      </c>
      <c r="L47" s="125">
        <f t="shared" si="20"/>
        <v>-11545.084885000002</v>
      </c>
      <c r="M47" s="125">
        <f t="shared" si="20"/>
        <v>-11545.084885000002</v>
      </c>
      <c r="N47" s="125">
        <f t="shared" si="20"/>
        <v>-11545.084885000002</v>
      </c>
      <c r="O47" s="125">
        <f t="shared" si="20"/>
        <v>-11545.084885000002</v>
      </c>
    </row>
    <row r="48" spans="2:15" ht="9" customHeight="1">
      <c r="B48" s="134" t="s">
        <v>163</v>
      </c>
      <c r="C48" s="139"/>
      <c r="D48" s="128">
        <f>INDEX(cockpit!$J$6:$X$16,MATCH($D34,cockpit!$J$6:$J$16,0),MATCH($B48,cockpit!$J$6:$X$6,0))</f>
        <v>0.05</v>
      </c>
      <c r="E48" s="126">
        <f>-E40*$D48</f>
        <v>0</v>
      </c>
      <c r="F48" s="126">
        <f t="shared" ref="F48:O48" si="21">-F40*$D48</f>
        <v>0</v>
      </c>
      <c r="G48" s="126">
        <f t="shared" si="21"/>
        <v>0</v>
      </c>
      <c r="H48" s="126">
        <f t="shared" si="21"/>
        <v>0</v>
      </c>
      <c r="I48" s="126">
        <f t="shared" si="21"/>
        <v>0</v>
      </c>
      <c r="J48" s="126">
        <f t="shared" si="21"/>
        <v>-3271.1073840833337</v>
      </c>
      <c r="K48" s="126">
        <f t="shared" si="21"/>
        <v>-6542.2147681666675</v>
      </c>
      <c r="L48" s="126">
        <f t="shared" si="21"/>
        <v>-6542.2147681666675</v>
      </c>
      <c r="M48" s="126">
        <f t="shared" si="21"/>
        <v>-6542.2147681666675</v>
      </c>
      <c r="N48" s="126">
        <f t="shared" si="21"/>
        <v>-6542.2147681666675</v>
      </c>
      <c r="O48" s="126">
        <f t="shared" si="21"/>
        <v>-6542.2147681666675</v>
      </c>
    </row>
    <row r="49" spans="2:15" ht="9" customHeight="1">
      <c r="B49" s="127" t="s">
        <v>196</v>
      </c>
      <c r="C49" s="139"/>
      <c r="D49" s="128"/>
      <c r="E49" s="129">
        <f>SUM(E47:E48)</f>
        <v>0</v>
      </c>
      <c r="F49" s="129">
        <f t="shared" ref="F49:O49" si="22">SUM(F47:F48)</f>
        <v>0</v>
      </c>
      <c r="G49" s="129">
        <f t="shared" si="22"/>
        <v>0</v>
      </c>
      <c r="H49" s="129">
        <f t="shared" si="22"/>
        <v>0</v>
      </c>
      <c r="I49" s="129">
        <f t="shared" si="22"/>
        <v>0</v>
      </c>
      <c r="J49" s="129">
        <f t="shared" si="22"/>
        <v>-14816.192269083336</v>
      </c>
      <c r="K49" s="129">
        <f t="shared" si="22"/>
        <v>-18087.299653166669</v>
      </c>
      <c r="L49" s="129">
        <f t="shared" si="22"/>
        <v>-18087.299653166669</v>
      </c>
      <c r="M49" s="129">
        <f t="shared" si="22"/>
        <v>-18087.299653166669</v>
      </c>
      <c r="N49" s="129">
        <f t="shared" si="22"/>
        <v>-18087.299653166669</v>
      </c>
      <c r="O49" s="129">
        <f t="shared" si="22"/>
        <v>-18087.299653166669</v>
      </c>
    </row>
    <row r="50" spans="2:15" ht="9" customHeight="1">
      <c r="B50" s="121"/>
      <c r="C50" s="139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2:15" ht="9" customHeight="1">
      <c r="B51" s="121" t="s">
        <v>171</v>
      </c>
      <c r="C51" s="139"/>
      <c r="D51" s="124">
        <f>(RetailconstructioncostPSF*(1-$K33))+((RetailconstructioncostPSF*(1+premiumprices)*$K33))</f>
        <v>146.23167271609094</v>
      </c>
      <c r="E51" s="125">
        <f>-IF(OR(E$2=$H33,E$2=$H34,AND(E$2&gt;$H33,E$2&lt;$H34)),(INDEX(summary!$A$2:$D$24,MATCH($D34,summary!$A$2:$A$24,0),MATCH($D33,summary!$A$2:$D$2,0)))/Constructiontime)*($D51*((1+Inflation)^(E$2-1)))*(1+Developerfee)</f>
        <v>0</v>
      </c>
      <c r="F51" s="125">
        <f>-IF(OR(F$2=$H33,F$2=$H34,AND(F$2&gt;$H33,F$2&lt;$H34)),(INDEX(summary!$A$2:$D$24,MATCH($D34,summary!$A$2:$A$24,0),MATCH($D33,summary!$A$2:$D$2,0)))/Constructiontime)*($D51*((1+Inflation)^(F$2-1)))*(1+Developerfee)</f>
        <v>0</v>
      </c>
      <c r="G51" s="125">
        <f>-IF(OR(G$2=$H33,G$2=$H34,AND(G$2&gt;$H33,G$2&lt;$H34)),(INDEX(summary!$A$2:$D$24,MATCH($D34,summary!$A$2:$A$24,0),MATCH($D33,summary!$A$2:$D$2,0)))/Constructiontime)*($D51*((1+Inflation)^(G$2-1)))*(1+Developerfee)</f>
        <v>0</v>
      </c>
      <c r="H51" s="125">
        <f>-IF(OR(H$2=$H33,H$2=$H34,AND(H$2&gt;$H33,H$2&lt;$H34)),(INDEX(summary!$A$2:$D$24,MATCH($D34,summary!$A$2:$A$24,0),MATCH($D33,summary!$A$2:$D$2,0)))/Constructiontime)*($D51*((1+Inflation)^(H$2-1)))*(1+Developerfee)</f>
        <v>-20199320.592160549</v>
      </c>
      <c r="I51" s="125">
        <f>-IF(OR(I$2=$H33,I$2=$H34,AND(I$2&gt;$H33,I$2&lt;$H34)),(INDEX(summary!$A$2:$D$24,MATCH($D34,summary!$A$2:$A$24,0),MATCH($D33,summary!$A$2:$D$2,0)))/Constructiontime)*($D51*((1+Inflation)^(I$2-1)))*(1+Developerfee)</f>
        <v>-20603307.004003759</v>
      </c>
      <c r="J51" s="125">
        <f>-IF(OR(J$2=$H33,J$2=$H34,AND(J$2&gt;$H33,J$2&lt;$H34)),(INDEX(summary!$A$2:$D$24,MATCH($D34,summary!$A$2:$A$24,0),MATCH($D33,summary!$A$2:$D$2,0)))/Constructiontime)*($D51*((1+Inflation)^(J$2-1)))*(1+Developerfee)</f>
        <v>0</v>
      </c>
      <c r="K51" s="125">
        <f>-IF(OR(K$2=$H33,K$2=$H34,AND(K$2&gt;$H33,K$2&lt;$H34)),(INDEX(summary!$A$2:$D$24,MATCH($D34,summary!$A$2:$A$24,0),MATCH($D33,summary!$A$2:$D$2,0)))/Constructiontime)*($D51*((1+Inflation)^(K$2-1)))*(1+Developerfee)</f>
        <v>0</v>
      </c>
      <c r="L51" s="125">
        <f>-IF(OR(L$2=$H33,L$2=$H34,AND(L$2&gt;$H33,L$2&lt;$H34)),(INDEX(summary!$A$2:$D$24,MATCH($D34,summary!$A$2:$A$24,0),MATCH($D33,summary!$A$2:$D$2,0)))/Constructiontime)*($D51*((1+Inflation)^(L$2-1)))*(1+Developerfee)</f>
        <v>0</v>
      </c>
      <c r="M51" s="125">
        <f>-IF(OR(M$2=$H33,M$2=$H34,AND(M$2&gt;$H33,M$2&lt;$H34)),(INDEX(summary!$A$2:$D$24,MATCH($D34,summary!$A$2:$A$24,0),MATCH($D33,summary!$A$2:$D$2,0)))/Constructiontime)*($D51*((1+Inflation)^(M$2-1)))*(1+Developerfee)</f>
        <v>0</v>
      </c>
      <c r="N51" s="125">
        <f>-IF(OR(N$2=$H33,N$2=$H34,AND(N$2&gt;$H33,N$2&lt;$H34)),(INDEX(summary!$A$2:$D$24,MATCH($D34,summary!$A$2:$A$24,0),MATCH($D33,summary!$A$2:$D$2,0)))/Constructiontime)*($D51*((1+Inflation)^(N$2-1)))*(1+Developerfee)</f>
        <v>0</v>
      </c>
      <c r="O51" s="125">
        <f>-IF(OR(O$2=$H33,O$2=$H34,AND(O$2&gt;$H33,O$2&lt;$H34)),(INDEX(summary!$A$2:$D$24,MATCH($D34,summary!$A$2:$A$24,0),MATCH($D33,summary!$A$2:$D$2,0)))/Constructiontime)*($D51*((1+Inflation)^(O$2-1)))*(1+Developerfee)</f>
        <v>0</v>
      </c>
    </row>
    <row r="52" spans="2:15" ht="9" customHeight="1">
      <c r="B52" s="121" t="s">
        <v>198</v>
      </c>
      <c r="C52" s="139" t="s">
        <v>190</v>
      </c>
      <c r="D52" s="138">
        <f>(INDEX(cockpit!$J$6:$X$16,MATCH($D34,cockpit!$J$6:$J$16,0),MATCH($C52,cockpit!$J$6:$X$6,0))*(1-$K33))+((INDEX(cockpit!$J$6:$X$16,MATCH($D34,cockpit!$J$6:$J$16,0),MATCH($C52,cockpit!$J$6:$X$6,0))-(Premiumexitcaprate))*$K33)</f>
        <v>6.7920060608131314E-2</v>
      </c>
      <c r="E52" s="126">
        <f t="shared" ref="E52:O52" si="23">IF(E$2=dispositionyear,E45/$D52,0)*(1-Closingcosts)</f>
        <v>0</v>
      </c>
      <c r="F52" s="126">
        <f t="shared" si="23"/>
        <v>0</v>
      </c>
      <c r="G52" s="126">
        <f t="shared" si="23"/>
        <v>0</v>
      </c>
      <c r="H52" s="126">
        <f t="shared" si="23"/>
        <v>0</v>
      </c>
      <c r="I52" s="126">
        <f t="shared" si="23"/>
        <v>0</v>
      </c>
      <c r="J52" s="126">
        <f t="shared" si="23"/>
        <v>0</v>
      </c>
      <c r="K52" s="126">
        <f t="shared" si="23"/>
        <v>0</v>
      </c>
      <c r="L52" s="126">
        <f t="shared" si="23"/>
        <v>0</v>
      </c>
      <c r="M52" s="126">
        <f t="shared" si="23"/>
        <v>0</v>
      </c>
      <c r="N52" s="126">
        <f t="shared" si="23"/>
        <v>0</v>
      </c>
      <c r="O52" s="126">
        <f t="shared" si="23"/>
        <v>72944377.69363752</v>
      </c>
    </row>
    <row r="53" spans="2:15" ht="9" customHeight="1">
      <c r="B53" s="127" t="s">
        <v>197</v>
      </c>
      <c r="C53" s="139"/>
      <c r="D53" s="123"/>
      <c r="E53" s="129">
        <f>SUM(E51:E52)</f>
        <v>0</v>
      </c>
      <c r="F53" s="129">
        <f t="shared" ref="F53:O53" si="24">SUM(F51:F52)</f>
        <v>0</v>
      </c>
      <c r="G53" s="129">
        <f t="shared" si="24"/>
        <v>0</v>
      </c>
      <c r="H53" s="129">
        <f t="shared" si="24"/>
        <v>-20199320.592160549</v>
      </c>
      <c r="I53" s="129">
        <f t="shared" si="24"/>
        <v>-20603307.004003759</v>
      </c>
      <c r="J53" s="129">
        <f t="shared" si="24"/>
        <v>0</v>
      </c>
      <c r="K53" s="129">
        <f t="shared" si="24"/>
        <v>0</v>
      </c>
      <c r="L53" s="129">
        <f t="shared" si="24"/>
        <v>0</v>
      </c>
      <c r="M53" s="129">
        <f t="shared" si="24"/>
        <v>0</v>
      </c>
      <c r="N53" s="129">
        <f t="shared" si="24"/>
        <v>0</v>
      </c>
      <c r="O53" s="129">
        <f t="shared" si="24"/>
        <v>72944377.69363752</v>
      </c>
    </row>
    <row r="54" spans="2:15" ht="9" customHeight="1">
      <c r="B54" s="121"/>
      <c r="C54" s="139"/>
      <c r="D54" s="123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</row>
    <row r="55" spans="2:15" ht="9" customHeight="1">
      <c r="B55" s="127" t="s">
        <v>170</v>
      </c>
      <c r="C55" s="127"/>
      <c r="D55" s="130">
        <f ca="1">IRR(OFFSET(E55,0,0,1,Investmenthorizon+1))</f>
        <v>0.16708331613847371</v>
      </c>
      <c r="E55" s="131">
        <f>SUM(E45,E49,E53)</f>
        <v>0</v>
      </c>
      <c r="F55" s="131">
        <f t="shared" ref="F55:O55" si="25">SUM(F45,F49,F53)</f>
        <v>0</v>
      </c>
      <c r="G55" s="131">
        <f t="shared" si="25"/>
        <v>0</v>
      </c>
      <c r="H55" s="131">
        <f t="shared" si="25"/>
        <v>-20199320.592160549</v>
      </c>
      <c r="I55" s="131">
        <f t="shared" si="25"/>
        <v>-20603307.004003759</v>
      </c>
      <c r="J55" s="131">
        <f t="shared" si="25"/>
        <v>2286384.0875983899</v>
      </c>
      <c r="K55" s="131">
        <f t="shared" si="25"/>
        <v>4676361.2712764777</v>
      </c>
      <c r="L55" s="131">
        <f t="shared" si="25"/>
        <v>4770250.2426950717</v>
      </c>
      <c r="M55" s="131">
        <f t="shared" si="25"/>
        <v>4866016.993542036</v>
      </c>
      <c r="N55" s="131">
        <f t="shared" si="25"/>
        <v>4963699.0794059401</v>
      </c>
      <c r="O55" s="131">
        <f t="shared" si="25"/>
        <v>78007712.500624642</v>
      </c>
    </row>
    <row r="56" spans="2:15" ht="9" customHeight="1" thickBot="1"/>
    <row r="57" spans="2:15" ht="9" customHeight="1">
      <c r="B57" s="144" t="s">
        <v>199</v>
      </c>
      <c r="C57" s="145"/>
      <c r="D57" s="145"/>
      <c r="E57" s="156"/>
      <c r="F57" s="157"/>
      <c r="G57" s="157"/>
      <c r="H57" s="157"/>
      <c r="I57" s="157"/>
      <c r="J57" s="157"/>
      <c r="K57" s="146"/>
      <c r="L57" s="119"/>
      <c r="M57" s="119"/>
      <c r="N57" s="119"/>
      <c r="O57" s="119"/>
    </row>
    <row r="58" spans="2:15" ht="9" customHeight="1">
      <c r="B58" s="147" t="s">
        <v>89</v>
      </c>
      <c r="C58" s="142"/>
      <c r="D58" s="155">
        <v>3</v>
      </c>
      <c r="E58" s="140"/>
      <c r="F58" s="140"/>
      <c r="G58" s="141" t="s">
        <v>205</v>
      </c>
      <c r="H58" s="161">
        <f>Phase3begin</f>
        <v>5</v>
      </c>
      <c r="I58" s="140"/>
      <c r="J58" s="141" t="s">
        <v>202</v>
      </c>
      <c r="K58" s="158">
        <f>summary!AJ16</f>
        <v>0</v>
      </c>
      <c r="L58" s="117"/>
      <c r="M58" s="117"/>
      <c r="N58" s="117"/>
      <c r="O58" s="117"/>
    </row>
    <row r="59" spans="2:15" ht="9" customHeight="1">
      <c r="B59" s="147" t="s">
        <v>94</v>
      </c>
      <c r="C59" s="142"/>
      <c r="D59" s="152" t="s">
        <v>142</v>
      </c>
      <c r="E59" s="140"/>
      <c r="F59" s="140"/>
      <c r="G59" s="141" t="s">
        <v>206</v>
      </c>
      <c r="H59" s="161">
        <f>Phase3end</f>
        <v>6</v>
      </c>
      <c r="I59" s="140"/>
      <c r="J59" s="140"/>
      <c r="K59" s="148"/>
      <c r="L59" s="117"/>
      <c r="M59" s="117"/>
      <c r="N59" s="117"/>
      <c r="O59" s="117"/>
    </row>
    <row r="60" spans="2:15" ht="9" customHeight="1" thickBot="1">
      <c r="B60" s="159"/>
      <c r="C60" s="160"/>
      <c r="D60" s="160"/>
      <c r="E60" s="160"/>
      <c r="F60" s="160"/>
      <c r="G60" s="150" t="s">
        <v>200</v>
      </c>
      <c r="H60" s="153">
        <f>Phase3open</f>
        <v>7</v>
      </c>
      <c r="I60" s="160"/>
      <c r="J60" s="160"/>
      <c r="K60" s="149"/>
      <c r="L60" s="117"/>
      <c r="M60" s="117"/>
      <c r="N60" s="117"/>
      <c r="O60" s="117"/>
    </row>
    <row r="61" spans="2:15" ht="9" customHeight="1">
      <c r="B61" s="117"/>
      <c r="C61" s="136"/>
      <c r="D61" s="120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</row>
    <row r="62" spans="2:15" ht="9" customHeight="1">
      <c r="B62" s="121" t="s">
        <v>183</v>
      </c>
      <c r="C62" s="121"/>
      <c r="D62" s="117"/>
      <c r="E62" s="122">
        <f>IF(OR(E$2=$H60,E$2&gt;$H60),INDEX(summary!$A$2:$D$24,MATCH($D59,summary!$A$2:$A$24,0),MATCH($D58,summary!$A$2:$D$2,0)),0)</f>
        <v>0</v>
      </c>
      <c r="F62" s="122">
        <f>IF(OR(F$2=$H60,F$2&gt;$H60),INDEX(summary!$A$2:$D$24,MATCH($D59,summary!$A$2:$A$24,0),MATCH($D58,summary!$A$2:$D$2,0)),0)</f>
        <v>0</v>
      </c>
      <c r="G62" s="122">
        <f>IF(OR(G$2=$H60,G$2&gt;$H60),INDEX(summary!$A$2:$D$24,MATCH($D59,summary!$A$2:$A$24,0),MATCH($D58,summary!$A$2:$D$2,0)),0)</f>
        <v>0</v>
      </c>
      <c r="H62" s="122">
        <f>IF(OR(H$2=$H60,H$2&gt;$H60),INDEX(summary!$A$2:$D$24,MATCH($D59,summary!$A$2:$A$24,0),MATCH($D58,summary!$A$2:$D$2,0)),0)</f>
        <v>0</v>
      </c>
      <c r="I62" s="122">
        <f>IF(OR(I$2=$H60,I$2&gt;$H60),INDEX(summary!$A$2:$D$24,MATCH($D59,summary!$A$2:$A$24,0),MATCH($D58,summary!$A$2:$D$2,0)),0)</f>
        <v>0</v>
      </c>
      <c r="J62" s="122">
        <f>IF(OR(J$2=$H60,J$2&gt;$H60),INDEX(summary!$A$2:$D$24,MATCH($D59,summary!$A$2:$A$24,0),MATCH($D58,summary!$A$2:$D$2,0)),0)</f>
        <v>0</v>
      </c>
      <c r="K62" s="122">
        <f>IF(OR(K$2=$H60,K$2&gt;$H60),INDEX(summary!$A$2:$D$24,MATCH($D59,summary!$A$2:$A$24,0),MATCH($D58,summary!$A$2:$D$2,0)),0)</f>
        <v>0</v>
      </c>
      <c r="L62" s="122">
        <f>IF(OR(L$2=$H60,L$2&gt;$H60),INDEX(summary!$A$2:$D$24,MATCH($D59,summary!$A$2:$A$24,0),MATCH($D58,summary!$A$2:$D$2,0)),0)</f>
        <v>61712.8508</v>
      </c>
      <c r="M62" s="122">
        <f>IF(OR(M$2=$H60,M$2&gt;$H60),INDEX(summary!$A$2:$D$24,MATCH($D59,summary!$A$2:$A$24,0),MATCH($D58,summary!$A$2:$D$2,0)),0)</f>
        <v>61712.8508</v>
      </c>
      <c r="N62" s="122">
        <f>IF(OR(N$2=$H60,N$2&gt;$H60),INDEX(summary!$A$2:$D$24,MATCH($D59,summary!$A$2:$A$24,0),MATCH($D58,summary!$A$2:$D$2,0)),0)</f>
        <v>61712.8508</v>
      </c>
      <c r="O62" s="122">
        <f>IF(OR(O$2=$H60,O$2&gt;$H60),INDEX(summary!$A$2:$D$24,MATCH($D59,summary!$A$2:$A$24,0),MATCH($D58,summary!$A$2:$D$2,0)),0)</f>
        <v>61712.8508</v>
      </c>
    </row>
    <row r="63" spans="2:15" ht="9" customHeight="1">
      <c r="B63" s="121" t="s">
        <v>195</v>
      </c>
      <c r="C63" s="137" t="s">
        <v>192</v>
      </c>
      <c r="D63" s="123">
        <f>INDEX(cockpit!$J$6:$X$16,MATCH($D59,cockpit!$J$6:$J$16,0),MATCH($C$11,cockpit!$J$6:$X$6,0))</f>
        <v>0</v>
      </c>
      <c r="E63" s="122">
        <f>E62*(1-$D63)</f>
        <v>0</v>
      </c>
      <c r="F63" s="122">
        <f t="shared" ref="F63:O63" si="26">F62*(1-$D63)</f>
        <v>0</v>
      </c>
      <c r="G63" s="122">
        <f t="shared" si="26"/>
        <v>0</v>
      </c>
      <c r="H63" s="122">
        <f t="shared" si="26"/>
        <v>0</v>
      </c>
      <c r="I63" s="122">
        <f t="shared" si="26"/>
        <v>0</v>
      </c>
      <c r="J63" s="122">
        <f t="shared" si="26"/>
        <v>0</v>
      </c>
      <c r="K63" s="122">
        <f t="shared" si="26"/>
        <v>0</v>
      </c>
      <c r="L63" s="122">
        <f t="shared" si="26"/>
        <v>61712.8508</v>
      </c>
      <c r="M63" s="122">
        <f t="shared" si="26"/>
        <v>61712.8508</v>
      </c>
      <c r="N63" s="122">
        <f t="shared" si="26"/>
        <v>61712.8508</v>
      </c>
      <c r="O63" s="122">
        <f t="shared" si="26"/>
        <v>61712.8508</v>
      </c>
    </row>
    <row r="64" spans="2:15" ht="9" customHeight="1">
      <c r="B64" s="121" t="s">
        <v>181</v>
      </c>
      <c r="C64" s="137" t="s">
        <v>153</v>
      </c>
      <c r="D64" s="138">
        <f>Officerampup</f>
        <v>0.28333333333333333</v>
      </c>
      <c r="E64" s="122">
        <f>IF(OR(E$2=$H60,AND(E$2&gt;$H60,E$2&lt;(SUM($H60,INDEX(cockpit!$J$6:$X$16,MATCH($D59,cockpit!$J$6:$J$16,0),MATCH($C$12,cockpit!$J$6:$X$6,0)))))),E63*$D64,0)</f>
        <v>0</v>
      </c>
      <c r="F64" s="122">
        <f>IF(OR(F$2=$H60,AND(F$2&gt;$H60,F$2&lt;(SUM($H60,INDEX(cockpit!$J$6:$X$16,MATCH($D59,cockpit!$J$6:$J$16,0),MATCH($C$12,cockpit!$J$6:$X$6,0)))))),F63*$D64,0)</f>
        <v>0</v>
      </c>
      <c r="G64" s="122">
        <f>IF(OR(G$2=$H60,AND(G$2&gt;$H60,G$2&lt;(SUM($H60,INDEX(cockpit!$J$6:$X$16,MATCH($D59,cockpit!$J$6:$J$16,0),MATCH($C$12,cockpit!$J$6:$X$6,0)))))),G63*$D64,0)</f>
        <v>0</v>
      </c>
      <c r="H64" s="122">
        <f>IF(OR(H$2=$H60,AND(H$2&gt;$H60,H$2&lt;(SUM($H60,INDEX(cockpit!$J$6:$X$16,MATCH($D59,cockpit!$J$6:$J$16,0),MATCH($C$12,cockpit!$J$6:$X$6,0)))))),H63*$D64,0)</f>
        <v>0</v>
      </c>
      <c r="I64" s="122">
        <f>IF(OR(I$2=$H60,AND(I$2&gt;$H60,I$2&lt;(SUM($H60,INDEX(cockpit!$J$6:$X$16,MATCH($D59,cockpit!$J$6:$J$16,0),MATCH($C$12,cockpit!$J$6:$X$6,0)))))),I63*$D64,0)</f>
        <v>0</v>
      </c>
      <c r="J64" s="122">
        <f>IF(OR(J$2=$H60,AND(J$2&gt;$H60,J$2&lt;(SUM($H60,INDEX(cockpit!$J$6:$X$16,MATCH($D59,cockpit!$J$6:$J$16,0),MATCH($C$12,cockpit!$J$6:$X$6,0)))))),J63*$D64,0)</f>
        <v>0</v>
      </c>
      <c r="K64" s="122">
        <f>IF(OR(K$2=$H60,AND(K$2&gt;$H60,K$2&lt;(SUM($H60,INDEX(cockpit!$J$6:$X$16,MATCH($D59,cockpit!$J$6:$J$16,0),MATCH($C$12,cockpit!$J$6:$X$6,0)))))),K63*$D64,0)</f>
        <v>0</v>
      </c>
      <c r="L64" s="122">
        <f>IF(OR(L$2=$H60,AND(L$2&gt;$H60,L$2&lt;(SUM($H60,INDEX(cockpit!$J$6:$X$16,MATCH($D59,cockpit!$J$6:$J$16,0),MATCH($C$12,cockpit!$J$6:$X$6,0)))))),L63*$D64,0)</f>
        <v>17485.307726666666</v>
      </c>
      <c r="M64" s="122">
        <f>IF(OR(M$2=$H60,AND(M$2&gt;$H60,M$2&lt;(SUM($H60,INDEX(cockpit!$J$6:$X$16,MATCH($D59,cockpit!$J$6:$J$16,0),MATCH($C$12,cockpit!$J$6:$X$6,0)))))),M63*$D64,0)</f>
        <v>17485.307726666666</v>
      </c>
      <c r="N64" s="122">
        <f>IF(OR(N$2=$H60,AND(N$2&gt;$H60,N$2&lt;(SUM($H60,INDEX(cockpit!$J$6:$X$16,MATCH($D59,cockpit!$J$6:$J$16,0),MATCH($C$12,cockpit!$J$6:$X$6,0)))))),N63*$D64,0)</f>
        <v>0</v>
      </c>
      <c r="O64" s="122">
        <f>IF(OR(O$2=$H60,AND(O$2&gt;$H60,O$2&lt;(SUM($H60,INDEX(cockpit!$J$6:$X$16,MATCH($D59,cockpit!$J$6:$J$16,0),MATCH($C$12,cockpit!$J$6:$X$6,0)))))),O63*$D64,0)</f>
        <v>0</v>
      </c>
    </row>
    <row r="65" spans="2:15" ht="9" customHeight="1">
      <c r="B65" s="121" t="s">
        <v>182</v>
      </c>
      <c r="C65" s="139"/>
      <c r="D65" s="117"/>
      <c r="E65" s="122">
        <f>SUM($E64:E64)</f>
        <v>0</v>
      </c>
      <c r="F65" s="122">
        <f>SUM($E64:F64)</f>
        <v>0</v>
      </c>
      <c r="G65" s="122">
        <f>SUM($E64:G64)</f>
        <v>0</v>
      </c>
      <c r="H65" s="122">
        <f>SUM($E64:H64)</f>
        <v>0</v>
      </c>
      <c r="I65" s="122">
        <f>SUM($E64:I64)</f>
        <v>0</v>
      </c>
      <c r="J65" s="122">
        <f>SUM($E64:J64)</f>
        <v>0</v>
      </c>
      <c r="K65" s="122">
        <f>SUM($E64:K64)</f>
        <v>0</v>
      </c>
      <c r="L65" s="122">
        <f>SUM($E64:L64)</f>
        <v>17485.307726666666</v>
      </c>
      <c r="M65" s="122">
        <f>SUM($E64:M64)</f>
        <v>34970.615453333332</v>
      </c>
      <c r="N65" s="122">
        <f>SUM($E64:N64)</f>
        <v>34970.615453333332</v>
      </c>
      <c r="O65" s="122">
        <f>SUM($E64:O64)</f>
        <v>34970.615453333332</v>
      </c>
    </row>
    <row r="66" spans="2:15" ht="9" customHeight="1">
      <c r="B66" s="120"/>
      <c r="C66" s="139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</row>
    <row r="67" spans="2:15" ht="9" customHeight="1">
      <c r="B67" s="134" t="s">
        <v>167</v>
      </c>
      <c r="C67" s="139"/>
      <c r="D67" s="124">
        <f>(OfficemarketratePSF*(1-$K58))+((OfficemarketratePSF*(1+premiumprices)*$K58))</f>
        <v>30</v>
      </c>
      <c r="E67" s="125">
        <f t="shared" ref="E67:O67" si="27">E65*($D67*((1+Inflation)^(E$2-1)))</f>
        <v>0</v>
      </c>
      <c r="F67" s="125">
        <f t="shared" si="27"/>
        <v>0</v>
      </c>
      <c r="G67" s="125">
        <f t="shared" si="27"/>
        <v>0</v>
      </c>
      <c r="H67" s="125">
        <f t="shared" si="27"/>
        <v>0</v>
      </c>
      <c r="I67" s="125">
        <f t="shared" si="27"/>
        <v>0</v>
      </c>
      <c r="J67" s="125">
        <f t="shared" si="27"/>
        <v>0</v>
      </c>
      <c r="K67" s="125">
        <f t="shared" si="27"/>
        <v>0</v>
      </c>
      <c r="L67" s="125">
        <f t="shared" si="27"/>
        <v>590738.89353115344</v>
      </c>
      <c r="M67" s="125">
        <f t="shared" si="27"/>
        <v>1205107.3428035527</v>
      </c>
      <c r="N67" s="125">
        <f t="shared" si="27"/>
        <v>1229209.4896596239</v>
      </c>
      <c r="O67" s="125">
        <f t="shared" si="27"/>
        <v>1253793.6794528163</v>
      </c>
    </row>
    <row r="68" spans="2:15" ht="9" customHeight="1">
      <c r="B68" s="134" t="s">
        <v>218</v>
      </c>
      <c r="C68" s="139"/>
      <c r="D68" s="124">
        <f>IF(INDEX(cockpit!$J$6:$X$16,MATCH($D59,cockpit!$J$6:$J$16,0),MATCH($B68,cockpit!$J$6:$X$6,0))="Y",D69,0)</f>
        <v>10</v>
      </c>
      <c r="E68" s="125">
        <f>-IF($D68&gt;0,E69,0)</f>
        <v>0</v>
      </c>
      <c r="F68" s="125">
        <f t="shared" ref="F68:O68" si="28">-IF($D68&gt;0,F69,0)</f>
        <v>0</v>
      </c>
      <c r="G68" s="125">
        <f t="shared" si="28"/>
        <v>0</v>
      </c>
      <c r="H68" s="125">
        <f t="shared" si="28"/>
        <v>0</v>
      </c>
      <c r="I68" s="125">
        <f t="shared" si="28"/>
        <v>0</v>
      </c>
      <c r="J68" s="125">
        <f t="shared" si="28"/>
        <v>0</v>
      </c>
      <c r="K68" s="125">
        <f t="shared" si="28"/>
        <v>0</v>
      </c>
      <c r="L68" s="125">
        <f t="shared" si="28"/>
        <v>694986.93356606283</v>
      </c>
      <c r="M68" s="125">
        <f t="shared" si="28"/>
        <v>708886.67223738402</v>
      </c>
      <c r="N68" s="125">
        <f t="shared" si="28"/>
        <v>723064.40568213165</v>
      </c>
      <c r="O68" s="125">
        <f t="shared" si="28"/>
        <v>737525.69379577425</v>
      </c>
    </row>
    <row r="69" spans="2:15" ht="9" customHeight="1">
      <c r="B69" s="134" t="s">
        <v>124</v>
      </c>
      <c r="C69" s="139"/>
      <c r="D69" s="124">
        <f>INDEX(cockpit!$J$6:$X$16,MATCH($D59,cockpit!$J$6:$J$16,0),MATCH($B69,cockpit!$J$6:$X$6,0))</f>
        <v>10</v>
      </c>
      <c r="E69" s="126">
        <f t="shared" ref="E69:O69" si="29">-IF($D69&gt;1,E62*($D69*((1+Inflation)^(E$2-1))),E67*(1-$D69))</f>
        <v>0</v>
      </c>
      <c r="F69" s="126">
        <f t="shared" si="29"/>
        <v>0</v>
      </c>
      <c r="G69" s="126">
        <f t="shared" si="29"/>
        <v>0</v>
      </c>
      <c r="H69" s="126">
        <f t="shared" si="29"/>
        <v>0</v>
      </c>
      <c r="I69" s="126">
        <f t="shared" si="29"/>
        <v>0</v>
      </c>
      <c r="J69" s="126">
        <f t="shared" si="29"/>
        <v>0</v>
      </c>
      <c r="K69" s="126">
        <f t="shared" si="29"/>
        <v>0</v>
      </c>
      <c r="L69" s="126">
        <f t="shared" si="29"/>
        <v>-694986.93356606283</v>
      </c>
      <c r="M69" s="126">
        <f t="shared" si="29"/>
        <v>-708886.67223738402</v>
      </c>
      <c r="N69" s="126">
        <f t="shared" si="29"/>
        <v>-723064.40568213165</v>
      </c>
      <c r="O69" s="126">
        <f t="shared" si="29"/>
        <v>-737525.69379577425</v>
      </c>
    </row>
    <row r="70" spans="2:15" ht="9" customHeight="1">
      <c r="B70" s="135" t="s">
        <v>168</v>
      </c>
      <c r="C70" s="139"/>
      <c r="D70" s="117"/>
      <c r="E70" s="125">
        <f>SUM(E67:E69)</f>
        <v>0</v>
      </c>
      <c r="F70" s="125">
        <f t="shared" ref="F70:O70" si="30">SUM(F67:F69)</f>
        <v>0</v>
      </c>
      <c r="G70" s="125">
        <f t="shared" si="30"/>
        <v>0</v>
      </c>
      <c r="H70" s="125">
        <f t="shared" si="30"/>
        <v>0</v>
      </c>
      <c r="I70" s="125">
        <f t="shared" si="30"/>
        <v>0</v>
      </c>
      <c r="J70" s="125">
        <f t="shared" si="30"/>
        <v>0</v>
      </c>
      <c r="K70" s="125">
        <f t="shared" si="30"/>
        <v>0</v>
      </c>
      <c r="L70" s="125">
        <f t="shared" si="30"/>
        <v>590738.89353115333</v>
      </c>
      <c r="M70" s="125">
        <f t="shared" si="30"/>
        <v>1205107.3428035527</v>
      </c>
      <c r="N70" s="125">
        <f t="shared" si="30"/>
        <v>1229209.4896596239</v>
      </c>
      <c r="O70" s="125">
        <f t="shared" si="30"/>
        <v>1253793.6794528165</v>
      </c>
    </row>
    <row r="71" spans="2:15" ht="9" customHeight="1">
      <c r="B71" s="117"/>
      <c r="C71" s="139"/>
      <c r="D71" s="117"/>
      <c r="E71" s="217">
        <f t="shared" ref="E71:O71" si="31">IFERROR(E70/SUM(E67:E68),0)</f>
        <v>0</v>
      </c>
      <c r="F71" s="217">
        <f t="shared" si="31"/>
        <v>0</v>
      </c>
      <c r="G71" s="217">
        <f t="shared" si="31"/>
        <v>0</v>
      </c>
      <c r="H71" s="217">
        <f t="shared" si="31"/>
        <v>0</v>
      </c>
      <c r="I71" s="217">
        <f t="shared" si="31"/>
        <v>0</v>
      </c>
      <c r="J71" s="217">
        <f t="shared" si="31"/>
        <v>0</v>
      </c>
      <c r="K71" s="217">
        <f t="shared" si="31"/>
        <v>0</v>
      </c>
      <c r="L71" s="217">
        <f t="shared" si="31"/>
        <v>0.45945945945945943</v>
      </c>
      <c r="M71" s="217">
        <f t="shared" si="31"/>
        <v>0.62962962962962954</v>
      </c>
      <c r="N71" s="217">
        <f t="shared" si="31"/>
        <v>0.62962962962962965</v>
      </c>
      <c r="O71" s="217">
        <f t="shared" si="31"/>
        <v>0.62962962962962976</v>
      </c>
    </row>
    <row r="72" spans="2:15" ht="9" customHeight="1">
      <c r="B72" s="121" t="s">
        <v>169</v>
      </c>
      <c r="C72" s="139"/>
      <c r="D72" s="128">
        <f>INDEX(cockpit!$J$6:$X$16,MATCH($D59,cockpit!$J$6:$J$16,0),MATCH($B72,cockpit!$J$6:$X$6,0))</f>
        <v>0.05</v>
      </c>
      <c r="E72" s="125">
        <f>-E63*$D72</f>
        <v>0</v>
      </c>
      <c r="F72" s="125">
        <f t="shared" ref="F72:O72" si="32">-F63*$D72</f>
        <v>0</v>
      </c>
      <c r="G72" s="125">
        <f t="shared" si="32"/>
        <v>0</v>
      </c>
      <c r="H72" s="125">
        <f t="shared" si="32"/>
        <v>0</v>
      </c>
      <c r="I72" s="125">
        <f t="shared" si="32"/>
        <v>0</v>
      </c>
      <c r="J72" s="125">
        <f t="shared" si="32"/>
        <v>0</v>
      </c>
      <c r="K72" s="125">
        <f t="shared" si="32"/>
        <v>0</v>
      </c>
      <c r="L72" s="125">
        <f t="shared" si="32"/>
        <v>-3085.6425400000003</v>
      </c>
      <c r="M72" s="125">
        <f t="shared" si="32"/>
        <v>-3085.6425400000003</v>
      </c>
      <c r="N72" s="125">
        <f t="shared" si="32"/>
        <v>-3085.6425400000003</v>
      </c>
      <c r="O72" s="125">
        <f t="shared" si="32"/>
        <v>-3085.6425400000003</v>
      </c>
    </row>
    <row r="73" spans="2:15" ht="9" customHeight="1">
      <c r="B73" s="121" t="s">
        <v>163</v>
      </c>
      <c r="C73" s="139"/>
      <c r="D73" s="128">
        <f>INDEX(cockpit!$J$6:$X$16,MATCH($D59,cockpit!$J$6:$J$16,0),MATCH($B73,cockpit!$J$6:$X$6,0))</f>
        <v>0.05</v>
      </c>
      <c r="E73" s="126">
        <f>-E65*$D73</f>
        <v>0</v>
      </c>
      <c r="F73" s="126">
        <f t="shared" ref="F73:O73" si="33">-F65*$D73</f>
        <v>0</v>
      </c>
      <c r="G73" s="126">
        <f t="shared" si="33"/>
        <v>0</v>
      </c>
      <c r="H73" s="126">
        <f t="shared" si="33"/>
        <v>0</v>
      </c>
      <c r="I73" s="126">
        <f t="shared" si="33"/>
        <v>0</v>
      </c>
      <c r="J73" s="126">
        <f t="shared" si="33"/>
        <v>0</v>
      </c>
      <c r="K73" s="126">
        <f t="shared" si="33"/>
        <v>0</v>
      </c>
      <c r="L73" s="126">
        <f t="shared" si="33"/>
        <v>-874.26538633333337</v>
      </c>
      <c r="M73" s="126">
        <f t="shared" si="33"/>
        <v>-1748.5307726666667</v>
      </c>
      <c r="N73" s="126">
        <f t="shared" si="33"/>
        <v>-1748.5307726666667</v>
      </c>
      <c r="O73" s="126">
        <f t="shared" si="33"/>
        <v>-1748.5307726666667</v>
      </c>
    </row>
    <row r="74" spans="2:15" ht="9" customHeight="1">
      <c r="B74" s="127" t="s">
        <v>196</v>
      </c>
      <c r="C74" s="139"/>
      <c r="D74" s="128"/>
      <c r="E74" s="129">
        <f>SUM(E72:E73)</f>
        <v>0</v>
      </c>
      <c r="F74" s="129">
        <f t="shared" ref="F74:O74" si="34">SUM(F72:F73)</f>
        <v>0</v>
      </c>
      <c r="G74" s="129">
        <f t="shared" si="34"/>
        <v>0</v>
      </c>
      <c r="H74" s="129">
        <f t="shared" si="34"/>
        <v>0</v>
      </c>
      <c r="I74" s="129">
        <f t="shared" si="34"/>
        <v>0</v>
      </c>
      <c r="J74" s="129">
        <f t="shared" si="34"/>
        <v>0</v>
      </c>
      <c r="K74" s="129">
        <f t="shared" si="34"/>
        <v>0</v>
      </c>
      <c r="L74" s="129">
        <f t="shared" si="34"/>
        <v>-3959.9079263333338</v>
      </c>
      <c r="M74" s="129">
        <f t="shared" si="34"/>
        <v>-4834.1733126666668</v>
      </c>
      <c r="N74" s="129">
        <f t="shared" si="34"/>
        <v>-4834.1733126666668</v>
      </c>
      <c r="O74" s="129">
        <f t="shared" si="34"/>
        <v>-4834.1733126666668</v>
      </c>
    </row>
    <row r="75" spans="2:15" ht="9" customHeight="1">
      <c r="B75" s="121"/>
      <c r="C75" s="139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</row>
    <row r="76" spans="2:15" ht="9" customHeight="1">
      <c r="B76" s="121" t="s">
        <v>171</v>
      </c>
      <c r="C76" s="139"/>
      <c r="D76" s="124">
        <f>(RetailconstructioncostPSF*(1-$K58))+((RetailconstructioncostPSF*(1+premiumprices)*$K58))</f>
        <v>135</v>
      </c>
      <c r="E76" s="125">
        <f>-IF(OR(E$2=$H58,E$2=$H59,AND(E$2&gt;$H58,E$2&lt;$H59)),(INDEX(summary!$A$2:$D$24,MATCH($D59,summary!$A$2:$A$24,0),MATCH($D58,summary!$A$2:$D$2,0)))/Constructiontime)*($D76*((1+Inflation)^(E$2-1)))*(1+Developerfee)</f>
        <v>0</v>
      </c>
      <c r="F76" s="125">
        <f>-IF(OR(F$2=$H58,F$2=$H59,AND(F$2&gt;$H58,F$2&lt;$H59)),(INDEX(summary!$A$2:$D$24,MATCH($D59,summary!$A$2:$A$24,0),MATCH($D58,summary!$A$2:$D$2,0)))/Constructiontime)*($D76*((1+Inflation)^(F$2-1)))*(1+Developerfee)</f>
        <v>0</v>
      </c>
      <c r="G76" s="125">
        <f>-IF(OR(G$2=$H58,G$2=$H59,AND(G$2&gt;$H58,G$2&lt;$H59)),(INDEX(summary!$A$2:$D$24,MATCH($D59,summary!$A$2:$A$24,0),MATCH($D58,summary!$A$2:$D$2,0)))/Constructiontime)*($D76*((1+Inflation)^(G$2-1)))*(1+Developerfee)</f>
        <v>0</v>
      </c>
      <c r="H76" s="125">
        <f>-IF(OR(H$2=$H58,H$2=$H59,AND(H$2&gt;$H58,H$2&lt;$H59)),(INDEX(summary!$A$2:$D$24,MATCH($D59,summary!$A$2:$A$24,0),MATCH($D58,summary!$A$2:$D$2,0)))/Constructiontime)*($D76*((1+Inflation)^(H$2-1)))*(1+Developerfee)</f>
        <v>0</v>
      </c>
      <c r="I76" s="125">
        <f>-IF(OR(I$2=$H58,I$2=$H59,AND(I$2&gt;$H58,I$2&lt;$H59)),(INDEX(summary!$A$2:$D$24,MATCH($D59,summary!$A$2:$A$24,0),MATCH($D58,summary!$A$2:$D$2,0)))/Constructiontime)*($D76*((1+Inflation)^(I$2-1)))*(1+Developerfee)</f>
        <v>0</v>
      </c>
      <c r="J76" s="125">
        <f>-IF(OR(J$2=$H58,J$2=$H59,AND(J$2&gt;$H58,J$2&lt;$H59)),(INDEX(summary!$A$2:$D$24,MATCH($D59,summary!$A$2:$A$24,0),MATCH($D58,summary!$A$2:$D$2,0)))/Constructiontime)*($D76*((1+Inflation)^(J$2-1)))*(1+Developerfee)</f>
        <v>-5185348.0121170338</v>
      </c>
      <c r="K76" s="125">
        <f>-IF(OR(K$2=$H58,K$2=$H59,AND(K$2&gt;$H58,K$2&lt;$H59)),(INDEX(summary!$A$2:$D$24,MATCH($D59,summary!$A$2:$A$24,0),MATCH($D58,summary!$A$2:$D$2,0)))/Constructiontime)*($D76*((1+Inflation)^(K$2-1)))*(1+Developerfee)</f>
        <v>-5289054.9723593751</v>
      </c>
      <c r="L76" s="125">
        <f>-IF(OR(L$2=$H58,L$2=$H59,AND(L$2&gt;$H58,L$2&lt;$H59)),(INDEX(summary!$A$2:$D$24,MATCH($D59,summary!$A$2:$A$24,0),MATCH($D58,summary!$A$2:$D$2,0)))/Constructiontime)*($D76*((1+Inflation)^(L$2-1)))*(1+Developerfee)</f>
        <v>0</v>
      </c>
      <c r="M76" s="125">
        <f>-IF(OR(M$2=$H58,M$2=$H59,AND(M$2&gt;$H58,M$2&lt;$H59)),(INDEX(summary!$A$2:$D$24,MATCH($D59,summary!$A$2:$A$24,0),MATCH($D58,summary!$A$2:$D$2,0)))/Constructiontime)*($D76*((1+Inflation)^(M$2-1)))*(1+Developerfee)</f>
        <v>0</v>
      </c>
      <c r="N76" s="125">
        <f>-IF(OR(N$2=$H58,N$2=$H59,AND(N$2&gt;$H58,N$2&lt;$H59)),(INDEX(summary!$A$2:$D$24,MATCH($D59,summary!$A$2:$A$24,0),MATCH($D58,summary!$A$2:$D$2,0)))/Constructiontime)*($D76*((1+Inflation)^(N$2-1)))*(1+Developerfee)</f>
        <v>0</v>
      </c>
      <c r="O76" s="125">
        <f>-IF(OR(O$2=$H58,O$2=$H59,AND(O$2&gt;$H58,O$2&lt;$H59)),(INDEX(summary!$A$2:$D$24,MATCH($D59,summary!$A$2:$A$24,0),MATCH($D58,summary!$A$2:$D$2,0)))/Constructiontime)*($D76*((1+Inflation)^(O$2-1)))*(1+Developerfee)</f>
        <v>0</v>
      </c>
    </row>
    <row r="77" spans="2:15" ht="9" customHeight="1">
      <c r="B77" s="121" t="s">
        <v>198</v>
      </c>
      <c r="C77" s="139" t="s">
        <v>190</v>
      </c>
      <c r="D77" s="138">
        <f>(INDEX(cockpit!$J$6:$X$16,MATCH($D59,cockpit!$J$6:$J$16,0),MATCH($C77,cockpit!$J$6:$X$6,0))*(1-$K58))+((INDEX(cockpit!$J$6:$X$16,MATCH($D59,cockpit!$J$6:$J$16,0),MATCH($C77,cockpit!$J$6:$X$6,0))-(Premiumexitcaprate))*$K58)</f>
        <v>7.0000000000000007E-2</v>
      </c>
      <c r="E77" s="126">
        <f t="shared" ref="E77:O77" si="35">IF(E$2=dispositionyear,E70/$D77,0)*(1-Closingcosts)</f>
        <v>0</v>
      </c>
      <c r="F77" s="126">
        <f t="shared" si="35"/>
        <v>0</v>
      </c>
      <c r="G77" s="126">
        <f t="shared" si="35"/>
        <v>0</v>
      </c>
      <c r="H77" s="126">
        <f t="shared" si="35"/>
        <v>0</v>
      </c>
      <c r="I77" s="126">
        <f t="shared" si="35"/>
        <v>0</v>
      </c>
      <c r="J77" s="126">
        <f t="shared" si="35"/>
        <v>0</v>
      </c>
      <c r="K77" s="126">
        <f t="shared" si="35"/>
        <v>0</v>
      </c>
      <c r="L77" s="126">
        <f t="shared" si="35"/>
        <v>0</v>
      </c>
      <c r="M77" s="126">
        <f t="shared" si="35"/>
        <v>0</v>
      </c>
      <c r="N77" s="126">
        <f t="shared" si="35"/>
        <v>0</v>
      </c>
      <c r="O77" s="126">
        <f t="shared" si="35"/>
        <v>17463554.820949942</v>
      </c>
    </row>
    <row r="78" spans="2:15" ht="9" customHeight="1">
      <c r="B78" s="127" t="s">
        <v>197</v>
      </c>
      <c r="C78" s="139"/>
      <c r="D78" s="123"/>
      <c r="E78" s="129">
        <f>SUM(E76:E77)</f>
        <v>0</v>
      </c>
      <c r="F78" s="129">
        <f t="shared" ref="F78:O78" si="36">SUM(F76:F77)</f>
        <v>0</v>
      </c>
      <c r="G78" s="129">
        <f t="shared" si="36"/>
        <v>0</v>
      </c>
      <c r="H78" s="129">
        <f t="shared" si="36"/>
        <v>0</v>
      </c>
      <c r="I78" s="129">
        <f t="shared" si="36"/>
        <v>0</v>
      </c>
      <c r="J78" s="129">
        <f t="shared" si="36"/>
        <v>-5185348.0121170338</v>
      </c>
      <c r="K78" s="129">
        <f t="shared" si="36"/>
        <v>-5289054.9723593751</v>
      </c>
      <c r="L78" s="129">
        <f t="shared" si="36"/>
        <v>0</v>
      </c>
      <c r="M78" s="129">
        <f t="shared" si="36"/>
        <v>0</v>
      </c>
      <c r="N78" s="129">
        <f t="shared" si="36"/>
        <v>0</v>
      </c>
      <c r="O78" s="129">
        <f t="shared" si="36"/>
        <v>17463554.820949942</v>
      </c>
    </row>
    <row r="79" spans="2:15" ht="9" customHeight="1">
      <c r="B79" s="121"/>
      <c r="C79" s="139"/>
      <c r="D79" s="123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</row>
    <row r="80" spans="2:15" ht="9" customHeight="1">
      <c r="B80" s="127" t="s">
        <v>170</v>
      </c>
      <c r="C80" s="127"/>
      <c r="D80" s="130">
        <f ca="1">IRR(OFFSET(E80,0,0,1,Investmenthorizon+1))</f>
        <v>0.18848679587848416</v>
      </c>
      <c r="E80" s="131">
        <f>SUM(E70,E74,E78)</f>
        <v>0</v>
      </c>
      <c r="F80" s="131">
        <f t="shared" ref="F80:O80" si="37">SUM(F70,F74,F78)</f>
        <v>0</v>
      </c>
      <c r="G80" s="131">
        <f t="shared" si="37"/>
        <v>0</v>
      </c>
      <c r="H80" s="131">
        <f t="shared" si="37"/>
        <v>0</v>
      </c>
      <c r="I80" s="131">
        <f t="shared" si="37"/>
        <v>0</v>
      </c>
      <c r="J80" s="131">
        <f t="shared" si="37"/>
        <v>-5185348.0121170338</v>
      </c>
      <c r="K80" s="131">
        <f t="shared" si="37"/>
        <v>-5289054.9723593751</v>
      </c>
      <c r="L80" s="131">
        <f t="shared" si="37"/>
        <v>586778.98560481996</v>
      </c>
      <c r="M80" s="131">
        <f t="shared" si="37"/>
        <v>1200273.1694908862</v>
      </c>
      <c r="N80" s="131">
        <f t="shared" si="37"/>
        <v>1224375.3163469573</v>
      </c>
      <c r="O80" s="131">
        <f t="shared" si="37"/>
        <v>18712514.327090092</v>
      </c>
    </row>
    <row r="81" spans="2:15" ht="9" customHeight="1">
      <c r="B81" s="127"/>
      <c r="C81" s="127"/>
      <c r="D81" s="132"/>
      <c r="E81" s="117"/>
      <c r="F81" s="117"/>
      <c r="G81" s="117"/>
      <c r="H81" s="133"/>
      <c r="I81" s="117"/>
      <c r="J81" s="117"/>
      <c r="K81" s="117"/>
      <c r="L81" s="117"/>
      <c r="M81" s="117"/>
      <c r="N81" s="117"/>
      <c r="O81" s="117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A2EB2-CD55-4F48-B40F-B44759B0E114}">
  <sheetPr>
    <tabColor theme="9" tint="0.59999389629810485"/>
  </sheetPr>
  <dimension ref="B2:Q84"/>
  <sheetViews>
    <sheetView showGridLines="0" topLeftCell="A5" zoomScale="70" zoomScaleNormal="70" workbookViewId="0">
      <selection activeCell="G15" sqref="G15"/>
    </sheetView>
    <sheetView topLeftCell="A35" zoomScale="70" zoomScaleNormal="70" workbookViewId="1"/>
  </sheetViews>
  <sheetFormatPr defaultRowHeight="9" customHeight="1"/>
  <cols>
    <col min="2" max="2" width="24.15625" bestFit="1" customWidth="1"/>
    <col min="3" max="3" width="1.15625" customWidth="1"/>
    <col min="5" max="5" width="9" bestFit="1" customWidth="1"/>
    <col min="6" max="7" width="11.47265625" bestFit="1" customWidth="1"/>
    <col min="8" max="8" width="10.3671875" bestFit="1" customWidth="1"/>
    <col min="9" max="9" width="10.26171875" customWidth="1"/>
    <col min="10" max="14" width="11.1015625" bestFit="1" customWidth="1"/>
    <col min="15" max="15" width="11.734375" bestFit="1" customWidth="1"/>
    <col min="16" max="16" width="14.89453125" bestFit="1" customWidth="1"/>
    <col min="17" max="17" width="13.89453125" bestFit="1" customWidth="1"/>
  </cols>
  <sheetData>
    <row r="2" spans="2:17" ht="9" customHeight="1" thickBot="1">
      <c r="B2" s="150" t="s">
        <v>176</v>
      </c>
      <c r="C2" s="150"/>
      <c r="D2" s="151"/>
      <c r="E2" s="151">
        <v>0</v>
      </c>
      <c r="F2" s="151">
        <v>1</v>
      </c>
      <c r="G2" s="151">
        <v>2</v>
      </c>
      <c r="H2" s="151">
        <v>3</v>
      </c>
      <c r="I2" s="151">
        <v>4</v>
      </c>
      <c r="J2" s="151">
        <v>5</v>
      </c>
      <c r="K2" s="151">
        <v>6</v>
      </c>
      <c r="L2" s="151">
        <v>7</v>
      </c>
      <c r="M2" s="151">
        <v>8</v>
      </c>
      <c r="N2" s="151">
        <v>9</v>
      </c>
      <c r="O2" s="151">
        <v>10</v>
      </c>
    </row>
    <row r="3" spans="2:17" ht="9" customHeight="1" thickBot="1"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7" ht="9" customHeight="1">
      <c r="B4" s="144" t="s">
        <v>199</v>
      </c>
      <c r="C4" s="145"/>
      <c r="D4" s="145"/>
      <c r="E4" s="156"/>
      <c r="F4" s="157"/>
      <c r="G4" s="157"/>
      <c r="H4" s="157"/>
      <c r="I4" s="157"/>
      <c r="J4" s="157"/>
      <c r="K4" s="146"/>
      <c r="L4" s="119"/>
      <c r="M4" s="119"/>
      <c r="N4" s="119"/>
      <c r="O4" s="119"/>
    </row>
    <row r="5" spans="2:17" ht="9" customHeight="1">
      <c r="B5" s="147" t="s">
        <v>89</v>
      </c>
      <c r="C5" s="142"/>
      <c r="D5" s="155">
        <f>Phase1</f>
        <v>1</v>
      </c>
      <c r="E5" s="140"/>
      <c r="F5" s="140"/>
      <c r="G5" s="141" t="s">
        <v>205</v>
      </c>
      <c r="H5" s="161">
        <f>Phase1begin</f>
        <v>1</v>
      </c>
      <c r="I5" s="140"/>
      <c r="J5" s="141" t="s">
        <v>202</v>
      </c>
      <c r="K5" s="158">
        <f>summary!AF20</f>
        <v>0</v>
      </c>
      <c r="L5" s="117"/>
      <c r="M5" s="117"/>
      <c r="N5" s="117"/>
      <c r="O5" s="117"/>
    </row>
    <row r="6" spans="2:17" ht="9" customHeight="1">
      <c r="B6" s="147" t="s">
        <v>94</v>
      </c>
      <c r="C6" s="142"/>
      <c r="D6" s="152" t="s">
        <v>223</v>
      </c>
      <c r="E6" s="140"/>
      <c r="F6" s="140"/>
      <c r="G6" s="141" t="s">
        <v>206</v>
      </c>
      <c r="H6" s="161">
        <f>Phase1end</f>
        <v>2</v>
      </c>
      <c r="I6" s="140"/>
      <c r="J6" s="140"/>
      <c r="K6" s="148"/>
      <c r="L6" s="117"/>
      <c r="M6" s="117"/>
      <c r="N6" s="117"/>
      <c r="O6" s="117"/>
    </row>
    <row r="7" spans="2:17" ht="9" customHeight="1" thickBot="1">
      <c r="B7" s="159"/>
      <c r="C7" s="160"/>
      <c r="D7" s="160"/>
      <c r="E7" s="160"/>
      <c r="F7" s="160"/>
      <c r="G7" s="150" t="s">
        <v>200</v>
      </c>
      <c r="H7" s="153">
        <f>Phase1open</f>
        <v>3</v>
      </c>
      <c r="I7" s="160"/>
      <c r="J7" s="160"/>
      <c r="K7" s="149"/>
      <c r="L7" s="117"/>
      <c r="M7" s="117"/>
      <c r="N7" s="117"/>
      <c r="O7" s="117"/>
    </row>
    <row r="8" spans="2:17" ht="9" customHeight="1">
      <c r="B8" s="117"/>
      <c r="C8" s="136"/>
      <c r="D8" s="120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2:17" ht="9" customHeight="1">
      <c r="B9" s="121" t="s">
        <v>183</v>
      </c>
      <c r="C9" s="121"/>
      <c r="D9" s="117"/>
      <c r="E9" s="122">
        <f>IF(OR(E$2=$H7,E$2&gt;$H7),INDEX(summary!$A$2:$D$24,MATCH($D6,summary!$A$2:$A$24,0),MATCH($D5,summary!$A$2:$D$2,0)),0)</f>
        <v>0</v>
      </c>
      <c r="F9" s="122">
        <f>IF(OR(F$2=$H7,F$2&gt;$H7),INDEX(summary!$A$2:$D$24,MATCH($D6,summary!$A$2:$A$24,0),MATCH($D5,summary!$A$2:$D$2,0)),0)</f>
        <v>0</v>
      </c>
      <c r="G9" s="122">
        <f>IF(OR(G$2=$H7,G$2&gt;$H7),INDEX(summary!$A$2:$D$24,MATCH($D6,summary!$A$2:$A$24,0),MATCH($D5,summary!$A$2:$D$2,0)),0)</f>
        <v>0</v>
      </c>
      <c r="H9" s="122">
        <f>IF(OR(H$2=$H7,H$2&gt;$H7),INDEX(summary!$A$2:$D$24,MATCH($D6,summary!$A$2:$A$24,0),MATCH($D5,summary!$A$2:$D$2,0)),0)</f>
        <v>139763.5681</v>
      </c>
      <c r="I9" s="122">
        <f>IF(OR(I$2=$H7,I$2&gt;$H7),INDEX(summary!$A$2:$D$24,MATCH($D6,summary!$A$2:$A$24,0),MATCH($D5,summary!$A$2:$D$2,0)),0)</f>
        <v>139763.5681</v>
      </c>
      <c r="J9" s="122">
        <f>IF(OR(J$2=$H7,J$2&gt;$H7),INDEX(summary!$A$2:$D$24,MATCH($D6,summary!$A$2:$A$24,0),MATCH($D5,summary!$A$2:$D$2,0)),0)</f>
        <v>139763.5681</v>
      </c>
      <c r="K9" s="122">
        <f>IF(OR(K$2=$H7,K$2&gt;$H7),INDEX(summary!$A$2:$D$24,MATCH($D6,summary!$A$2:$A$24,0),MATCH($D5,summary!$A$2:$D$2,0)),0)</f>
        <v>139763.5681</v>
      </c>
      <c r="L9" s="122">
        <f>IF(OR(L$2=$H7,L$2&gt;$H7),INDEX(summary!$A$2:$D$24,MATCH($D6,summary!$A$2:$A$24,0),MATCH($D5,summary!$A$2:$D$2,0)),0)</f>
        <v>139763.5681</v>
      </c>
      <c r="M9" s="122">
        <f>IF(OR(M$2=$H7,M$2&gt;$H7),INDEX(summary!$A$2:$D$24,MATCH($D6,summary!$A$2:$A$24,0),MATCH($D5,summary!$A$2:$D$2,0)),0)</f>
        <v>139763.5681</v>
      </c>
      <c r="N9" s="122">
        <f>IF(OR(N$2=$H7,N$2&gt;$H7),INDEX(summary!$A$2:$D$24,MATCH($D6,summary!$A$2:$A$24,0),MATCH($D5,summary!$A$2:$D$2,0)),0)</f>
        <v>139763.5681</v>
      </c>
      <c r="O9" s="122">
        <f>IF(OR(O$2=$H7,O$2&gt;$H7),INDEX(summary!$A$2:$D$24,MATCH($D6,summary!$A$2:$A$24,0),MATCH($D5,summary!$A$2:$D$2,0)),0)</f>
        <v>139763.5681</v>
      </c>
    </row>
    <row r="10" spans="2:17" ht="9" customHeight="1">
      <c r="B10" s="121" t="s">
        <v>195</v>
      </c>
      <c r="C10" s="137" t="s">
        <v>192</v>
      </c>
      <c r="D10" s="123">
        <f>INDEX(cockpit!$J$6:$X$16,MATCH($D6,cockpit!$J$6:$J$16,0),MATCH($C$10,cockpit!$J$6:$X$6,0))</f>
        <v>0.25</v>
      </c>
      <c r="E10" s="122">
        <f>E9*(1-$D10)</f>
        <v>0</v>
      </c>
      <c r="F10" s="122">
        <f t="shared" ref="F10:O10" si="0">F9*(1-$D10)</f>
        <v>0</v>
      </c>
      <c r="G10" s="122">
        <f t="shared" si="0"/>
        <v>0</v>
      </c>
      <c r="H10" s="122">
        <f t="shared" si="0"/>
        <v>104822.676075</v>
      </c>
      <c r="I10" s="122">
        <f t="shared" si="0"/>
        <v>104822.676075</v>
      </c>
      <c r="J10" s="122">
        <f t="shared" si="0"/>
        <v>104822.676075</v>
      </c>
      <c r="K10" s="122">
        <f t="shared" si="0"/>
        <v>104822.676075</v>
      </c>
      <c r="L10" s="122">
        <f t="shared" si="0"/>
        <v>104822.676075</v>
      </c>
      <c r="M10" s="122">
        <f t="shared" si="0"/>
        <v>104822.676075</v>
      </c>
      <c r="N10" s="122">
        <f t="shared" si="0"/>
        <v>104822.676075</v>
      </c>
      <c r="O10" s="122">
        <f t="shared" si="0"/>
        <v>104822.676075</v>
      </c>
      <c r="P10" s="122"/>
    </row>
    <row r="11" spans="2:17" ht="9" customHeight="1">
      <c r="B11" s="121" t="s">
        <v>181</v>
      </c>
      <c r="C11" s="137" t="s">
        <v>153</v>
      </c>
      <c r="D11" s="138">
        <f>Hotelrampup</f>
        <v>0.65</v>
      </c>
      <c r="E11" s="122">
        <f>IF(OR(E$2=$H7,AND(E$2&gt;$H7,E$2&lt;(SUM($H7,INDEX(cockpit!$J$6:$X$16,MATCH($D6,cockpit!$J$6:$J$16,0),MATCH($C$11,cockpit!$J$6:$X$6,0)))))),E10*$D11,0)</f>
        <v>0</v>
      </c>
      <c r="F11" s="122">
        <f>IF(OR(F$2=$H7,AND(F$2&gt;$H7,F$2&lt;(SUM($H7,INDEX(cockpit!$J$6:$X$16,MATCH($D6,cockpit!$J$6:$J$16,0),MATCH($C$11,cockpit!$J$6:$X$6,0)))))),F10*$D11,0)</f>
        <v>0</v>
      </c>
      <c r="G11" s="122">
        <f>IF(OR(G$2=$H7,AND(G$2&gt;$H7,G$2&lt;(SUM($H7,INDEX(cockpit!$J$6:$X$16,MATCH($D6,cockpit!$J$6:$J$16,0),MATCH($C$11,cockpit!$J$6:$X$6,0)))))),G10*$D11,0)</f>
        <v>0</v>
      </c>
      <c r="H11" s="122">
        <f>IF(OR(H$2=$H7,AND(H$2&gt;$H7,H$2&lt;(SUM($H7,INDEX(cockpit!$J$6:$X$16,MATCH($D6,cockpit!$J$6:$J$16,0),MATCH($C$11,cockpit!$J$6:$X$6,0)))))),H10*$D11,0)</f>
        <v>68134.739448749999</v>
      </c>
      <c r="I11" s="122">
        <f>IF(OR(I$2=$H7,AND(I$2&gt;$H7,I$2&lt;(SUM($H7,INDEX(cockpit!$J$6:$X$16,MATCH($D6,cockpit!$J$6:$J$16,0),MATCH($C$11,cockpit!$J$6:$X$6,0)))))),I10*$D11,0)</f>
        <v>0</v>
      </c>
      <c r="J11" s="122">
        <f>IF(OR(J$2=$H7,AND(J$2&gt;$H7,J$2&lt;(SUM($H7,INDEX(cockpit!$J$6:$X$16,MATCH($D6,cockpit!$J$6:$J$16,0),MATCH($C$11,cockpit!$J$6:$X$6,0)))))),J10*$D11,0)</f>
        <v>0</v>
      </c>
      <c r="K11" s="122">
        <f>IF(OR(K$2=$H7,AND(K$2&gt;$H7,K$2&lt;(SUM($H7,INDEX(cockpit!$J$6:$X$16,MATCH($D6,cockpit!$J$6:$J$16,0),MATCH($C$11,cockpit!$J$6:$X$6,0)))))),K10*$D11,0)</f>
        <v>0</v>
      </c>
      <c r="L11" s="122">
        <f>IF(OR(L$2=$H7,AND(L$2&gt;$H7,L$2&lt;(SUM($H7,INDEX(cockpit!$J$6:$X$16,MATCH($D6,cockpit!$J$6:$J$16,0),MATCH($C$11,cockpit!$J$6:$X$6,0)))))),L10*$D11,0)</f>
        <v>0</v>
      </c>
      <c r="M11" s="122">
        <f>IF(OR(M$2=$H7,AND(M$2&gt;$H7,M$2&lt;(SUM($H7,INDEX(cockpit!$J$6:$X$16,MATCH($D6,cockpit!$J$6:$J$16,0),MATCH($C$11,cockpit!$J$6:$X$6,0)))))),M10*$D11,0)</f>
        <v>0</v>
      </c>
      <c r="N11" s="122">
        <f>IF(OR(N$2=$H7,AND(N$2&gt;$H7,N$2&lt;(SUM($H7,INDEX(cockpit!$J$6:$X$16,MATCH($D6,cockpit!$J$6:$J$16,0),MATCH($C$11,cockpit!$J$6:$X$6,0)))))),N10*$D11,0)</f>
        <v>0</v>
      </c>
      <c r="O11" s="122">
        <f>IF(OR(O$2=$H7,AND(O$2&gt;$H7,O$2&lt;(SUM($H7,INDEX(cockpit!$J$6:$X$16,MATCH($D6,cockpit!$J$6:$J$16,0),MATCH($C$11,cockpit!$J$6:$X$6,0)))))),O10*$D11,0)</f>
        <v>0</v>
      </c>
    </row>
    <row r="12" spans="2:17" ht="9" customHeight="1">
      <c r="B12" s="121" t="s">
        <v>182</v>
      </c>
      <c r="C12" s="139"/>
      <c r="D12" s="117"/>
      <c r="E12" s="122">
        <f>SUM($E11:E11)</f>
        <v>0</v>
      </c>
      <c r="F12" s="122">
        <f>SUM($E11:F11)</f>
        <v>0</v>
      </c>
      <c r="G12" s="122">
        <f>SUM($E11:G11)</f>
        <v>0</v>
      </c>
      <c r="H12" s="122">
        <f>SUM($E11:H11)</f>
        <v>68134.739448749999</v>
      </c>
      <c r="I12" s="122">
        <f>SUM($E11:I11)</f>
        <v>68134.739448749999</v>
      </c>
      <c r="J12" s="122">
        <f>SUM($E11:J11)</f>
        <v>68134.739448749999</v>
      </c>
      <c r="K12" s="122">
        <f>SUM($E11:K11)</f>
        <v>68134.739448749999</v>
      </c>
      <c r="L12" s="122">
        <f>SUM($E11:L11)</f>
        <v>68134.739448749999</v>
      </c>
      <c r="M12" s="122">
        <f>SUM($E11:M11)</f>
        <v>68134.739448749999</v>
      </c>
      <c r="N12" s="122">
        <f>SUM($E11:N11)</f>
        <v>68134.739448749999</v>
      </c>
      <c r="O12" s="122">
        <f>SUM($E11:O11)</f>
        <v>68134.739448749999</v>
      </c>
    </row>
    <row r="13" spans="2:17" ht="9" customHeight="1">
      <c r="B13" s="121" t="s">
        <v>233</v>
      </c>
      <c r="C13" s="139"/>
      <c r="D13" s="117"/>
      <c r="E13" s="122">
        <f t="shared" ref="E13:O13" si="1">E12/Hotelaverageroomsize</f>
        <v>0</v>
      </c>
      <c r="F13" s="122">
        <f t="shared" si="1"/>
        <v>0</v>
      </c>
      <c r="G13" s="122">
        <f t="shared" si="1"/>
        <v>0</v>
      </c>
      <c r="H13" s="122">
        <f t="shared" si="1"/>
        <v>209.64535215000001</v>
      </c>
      <c r="I13" s="122">
        <f t="shared" si="1"/>
        <v>209.64535215000001</v>
      </c>
      <c r="J13" s="122">
        <f t="shared" si="1"/>
        <v>209.64535215000001</v>
      </c>
      <c r="K13" s="122">
        <f t="shared" si="1"/>
        <v>209.64535215000001</v>
      </c>
      <c r="L13" s="122">
        <f t="shared" si="1"/>
        <v>209.64535215000001</v>
      </c>
      <c r="M13" s="122">
        <f t="shared" si="1"/>
        <v>209.64535215000001</v>
      </c>
      <c r="N13" s="122">
        <f t="shared" si="1"/>
        <v>209.64535215000001</v>
      </c>
      <c r="O13" s="122">
        <f t="shared" si="1"/>
        <v>209.64535215000001</v>
      </c>
      <c r="P13" s="246"/>
    </row>
    <row r="14" spans="2:17" ht="9" customHeight="1">
      <c r="B14" s="117"/>
      <c r="C14" s="139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246"/>
    </row>
    <row r="15" spans="2:17" ht="9" customHeight="1">
      <c r="B15" s="121" t="s">
        <v>236</v>
      </c>
      <c r="C15" s="139"/>
      <c r="D15" s="124">
        <f>(hoteladr*(1-$K5))+((hoteladr*(1+premiumprices)*$K5))</f>
        <v>150</v>
      </c>
      <c r="E15" s="125">
        <f t="shared" ref="E15:O15" si="2">(E13*(($D15)*((1+Inflation)^(E$2-1))))*365</f>
        <v>0</v>
      </c>
      <c r="F15" s="125">
        <f t="shared" si="2"/>
        <v>0</v>
      </c>
      <c r="G15" s="125">
        <f t="shared" si="2"/>
        <v>0</v>
      </c>
      <c r="H15" s="125">
        <f t="shared" si="2"/>
        <v>11941797.584633086</v>
      </c>
      <c r="I15" s="125">
        <f t="shared" si="2"/>
        <v>12180633.536325745</v>
      </c>
      <c r="J15" s="125">
        <f t="shared" si="2"/>
        <v>12424246.207052261</v>
      </c>
      <c r="K15" s="125">
        <f t="shared" si="2"/>
        <v>12672731.131193308</v>
      </c>
      <c r="L15" s="125">
        <f t="shared" si="2"/>
        <v>12926185.753817175</v>
      </c>
      <c r="M15" s="125">
        <f t="shared" si="2"/>
        <v>13184709.468893515</v>
      </c>
      <c r="N15" s="125">
        <f t="shared" si="2"/>
        <v>13448403.658271385</v>
      </c>
      <c r="O15" s="125">
        <f t="shared" si="2"/>
        <v>13717371.731436815</v>
      </c>
      <c r="P15" s="257"/>
      <c r="Q15" s="258"/>
    </row>
    <row r="16" spans="2:17" ht="9" customHeight="1">
      <c r="B16" s="121" t="s">
        <v>124</v>
      </c>
      <c r="C16" s="139"/>
      <c r="D16" s="123">
        <f>INDEX(cockpit!$J$6:$X$16,MATCH($D6,cockpit!$J$6:$J$16,0),MATCH($B16,cockpit!$J$6:$X$6,0))</f>
        <v>0.2</v>
      </c>
      <c r="E16" s="129">
        <f t="shared" ref="E16:O16" si="3">-IF($D16&gt;1,E9*($D16*((1+Inflation)^(E$2-1))),E15*(1-$D16))</f>
        <v>0</v>
      </c>
      <c r="F16" s="129">
        <f t="shared" si="3"/>
        <v>0</v>
      </c>
      <c r="G16" s="129">
        <f t="shared" si="3"/>
        <v>0</v>
      </c>
      <c r="H16" s="129">
        <f t="shared" si="3"/>
        <v>-9553438.0677064694</v>
      </c>
      <c r="I16" s="129">
        <f t="shared" si="3"/>
        <v>-9744506.8290605973</v>
      </c>
      <c r="J16" s="129">
        <f t="shared" si="3"/>
        <v>-9939396.9656418096</v>
      </c>
      <c r="K16" s="129">
        <f t="shared" si="3"/>
        <v>-10138184.904954648</v>
      </c>
      <c r="L16" s="129">
        <f t="shared" si="3"/>
        <v>-10340948.603053741</v>
      </c>
      <c r="M16" s="129">
        <f t="shared" si="3"/>
        <v>-10547767.575114813</v>
      </c>
      <c r="N16" s="129">
        <f t="shared" si="3"/>
        <v>-10758722.926617108</v>
      </c>
      <c r="O16" s="129">
        <f t="shared" si="3"/>
        <v>-10973897.385149453</v>
      </c>
      <c r="P16" s="259"/>
      <c r="Q16" s="260"/>
    </row>
    <row r="17" spans="2:17" ht="9" customHeight="1">
      <c r="B17" s="134" t="s">
        <v>234</v>
      </c>
      <c r="C17" s="139"/>
      <c r="D17" s="123">
        <f>hotelfoodandbeverageincome</f>
        <v>0.3</v>
      </c>
      <c r="E17" s="129">
        <f t="shared" ref="E17:O17" si="4">E15*$D17*hotelfoodandbeveragemargin</f>
        <v>0</v>
      </c>
      <c r="F17" s="129">
        <f t="shared" si="4"/>
        <v>0</v>
      </c>
      <c r="G17" s="129">
        <f t="shared" si="4"/>
        <v>0</v>
      </c>
      <c r="H17" s="129">
        <f t="shared" si="4"/>
        <v>537380.89130848879</v>
      </c>
      <c r="I17" s="129">
        <f t="shared" si="4"/>
        <v>548128.5091346585</v>
      </c>
      <c r="J17" s="129">
        <f t="shared" si="4"/>
        <v>559091.07931735169</v>
      </c>
      <c r="K17" s="129">
        <f t="shared" si="4"/>
        <v>570272.90090369876</v>
      </c>
      <c r="L17" s="129">
        <f t="shared" si="4"/>
        <v>581678.3589217728</v>
      </c>
      <c r="M17" s="129">
        <f t="shared" si="4"/>
        <v>593311.92610020807</v>
      </c>
      <c r="N17" s="129">
        <f t="shared" si="4"/>
        <v>605178.16462221229</v>
      </c>
      <c r="O17" s="129">
        <f t="shared" si="4"/>
        <v>617281.72791465663</v>
      </c>
      <c r="P17" s="257"/>
      <c r="Q17" s="261"/>
    </row>
    <row r="18" spans="2:17" ht="9" customHeight="1">
      <c r="B18" s="134" t="s">
        <v>235</v>
      </c>
      <c r="C18" s="139"/>
      <c r="D18" s="123">
        <f>hotelotherincome</f>
        <v>0.1</v>
      </c>
      <c r="E18" s="126">
        <f t="shared" ref="E18:O18" si="5">E15*$D18*hotelotherincomemargin</f>
        <v>0</v>
      </c>
      <c r="F18" s="126">
        <f t="shared" si="5"/>
        <v>0</v>
      </c>
      <c r="G18" s="126">
        <f t="shared" si="5"/>
        <v>0</v>
      </c>
      <c r="H18" s="126">
        <f t="shared" si="5"/>
        <v>179126.9637694963</v>
      </c>
      <c r="I18" s="126">
        <f t="shared" si="5"/>
        <v>182709.50304488619</v>
      </c>
      <c r="J18" s="126">
        <f t="shared" si="5"/>
        <v>186363.69310578392</v>
      </c>
      <c r="K18" s="126">
        <f t="shared" si="5"/>
        <v>190090.96696789964</v>
      </c>
      <c r="L18" s="126">
        <f t="shared" si="5"/>
        <v>193892.78630725763</v>
      </c>
      <c r="M18" s="126">
        <f t="shared" si="5"/>
        <v>197770.64203340272</v>
      </c>
      <c r="N18" s="126">
        <f t="shared" si="5"/>
        <v>201726.05487407077</v>
      </c>
      <c r="O18" s="126">
        <f t="shared" si="5"/>
        <v>205760.57597155223</v>
      </c>
      <c r="P18" s="257"/>
      <c r="Q18" s="262"/>
    </row>
    <row r="19" spans="2:17" ht="9" customHeight="1">
      <c r="B19" s="127" t="s">
        <v>168</v>
      </c>
      <c r="C19" s="139"/>
      <c r="D19" s="117"/>
      <c r="E19" s="125">
        <f t="shared" ref="E19:O19" si="6">SUM(E15:E18)</f>
        <v>0</v>
      </c>
      <c r="F19" s="125">
        <f t="shared" si="6"/>
        <v>0</v>
      </c>
      <c r="G19" s="125">
        <f t="shared" si="6"/>
        <v>0</v>
      </c>
      <c r="H19" s="125">
        <f t="shared" si="6"/>
        <v>3104867.3720046016</v>
      </c>
      <c r="I19" s="125">
        <f t="shared" si="6"/>
        <v>3166964.7194446926</v>
      </c>
      <c r="J19" s="125">
        <f t="shared" si="6"/>
        <v>3230304.0138335866</v>
      </c>
      <c r="K19" s="125">
        <f t="shared" si="6"/>
        <v>3294910.0941102593</v>
      </c>
      <c r="L19" s="125">
        <f t="shared" si="6"/>
        <v>3360808.2959924638</v>
      </c>
      <c r="M19" s="125">
        <f t="shared" si="6"/>
        <v>3428024.461912313</v>
      </c>
      <c r="N19" s="125">
        <f t="shared" si="6"/>
        <v>3496584.9511505603</v>
      </c>
      <c r="O19" s="125">
        <f t="shared" si="6"/>
        <v>3566516.650173571</v>
      </c>
      <c r="P19" s="263"/>
      <c r="Q19" s="258"/>
    </row>
    <row r="20" spans="2:17" ht="9" customHeight="1">
      <c r="B20" s="117"/>
      <c r="C20" s="139"/>
      <c r="D20" s="117"/>
      <c r="E20" s="217">
        <f t="shared" ref="E20:O20" si="7">IFERROR(E19/SUM(E15:E15),0)</f>
        <v>0</v>
      </c>
      <c r="F20" s="217">
        <f t="shared" si="7"/>
        <v>0</v>
      </c>
      <c r="G20" s="217">
        <f t="shared" si="7"/>
        <v>0</v>
      </c>
      <c r="H20" s="217">
        <f t="shared" si="7"/>
        <v>0.25999999999999995</v>
      </c>
      <c r="I20" s="217">
        <f t="shared" si="7"/>
        <v>0.2599999999999999</v>
      </c>
      <c r="J20" s="217">
        <f t="shared" si="7"/>
        <v>0.2599999999999999</v>
      </c>
      <c r="K20" s="217">
        <f t="shared" si="7"/>
        <v>0.25999999999999995</v>
      </c>
      <c r="L20" s="217">
        <f t="shared" si="7"/>
        <v>0.2599999999999999</v>
      </c>
      <c r="M20" s="217">
        <f t="shared" si="7"/>
        <v>0.25999999999999995</v>
      </c>
      <c r="N20" s="217">
        <f t="shared" si="7"/>
        <v>0.26</v>
      </c>
      <c r="O20" s="217">
        <f t="shared" si="7"/>
        <v>0.25999999999999995</v>
      </c>
      <c r="P20" s="264"/>
      <c r="Q20" s="258"/>
    </row>
    <row r="21" spans="2:17" ht="9" customHeight="1">
      <c r="B21" s="121" t="s">
        <v>169</v>
      </c>
      <c r="C21" s="139"/>
      <c r="D21" s="128">
        <f>INDEX(cockpit!$J$6:$X$16,MATCH($D6,cockpit!$J$6:$J$16,0),MATCH($B21,cockpit!$J$6:$X$6,0))</f>
        <v>0.05</v>
      </c>
      <c r="E21" s="125">
        <f t="shared" ref="E21:O21" si="8">-E10*$D21</f>
        <v>0</v>
      </c>
      <c r="F21" s="125">
        <f t="shared" si="8"/>
        <v>0</v>
      </c>
      <c r="G21" s="125">
        <f t="shared" si="8"/>
        <v>0</v>
      </c>
      <c r="H21" s="125">
        <f t="shared" si="8"/>
        <v>-5241.13380375</v>
      </c>
      <c r="I21" s="125">
        <f t="shared" si="8"/>
        <v>-5241.13380375</v>
      </c>
      <c r="J21" s="125">
        <f t="shared" si="8"/>
        <v>-5241.13380375</v>
      </c>
      <c r="K21" s="125">
        <f t="shared" si="8"/>
        <v>-5241.13380375</v>
      </c>
      <c r="L21" s="125">
        <f t="shared" si="8"/>
        <v>-5241.13380375</v>
      </c>
      <c r="M21" s="125">
        <f t="shared" si="8"/>
        <v>-5241.13380375</v>
      </c>
      <c r="N21" s="125">
        <f t="shared" si="8"/>
        <v>-5241.13380375</v>
      </c>
      <c r="O21" s="125">
        <f t="shared" si="8"/>
        <v>-5241.13380375</v>
      </c>
      <c r="P21" s="258"/>
      <c r="Q21" s="258"/>
    </row>
    <row r="22" spans="2:17" ht="9" customHeight="1">
      <c r="B22" s="121" t="s">
        <v>163</v>
      </c>
      <c r="C22" s="139"/>
      <c r="D22" s="128">
        <f>INDEX(cockpit!$J$6:$X$16,MATCH($D6,cockpit!$J$6:$J$16,0),MATCH($B22,cockpit!$J$6:$X$6,0))</f>
        <v>0</v>
      </c>
      <c r="E22" s="126">
        <f t="shared" ref="E22:O22" si="9">-E12*$D22</f>
        <v>0</v>
      </c>
      <c r="F22" s="126">
        <f t="shared" si="9"/>
        <v>0</v>
      </c>
      <c r="G22" s="126">
        <f t="shared" si="9"/>
        <v>0</v>
      </c>
      <c r="H22" s="126">
        <f t="shared" si="9"/>
        <v>0</v>
      </c>
      <c r="I22" s="126">
        <f t="shared" si="9"/>
        <v>0</v>
      </c>
      <c r="J22" s="126">
        <f t="shared" si="9"/>
        <v>0</v>
      </c>
      <c r="K22" s="126">
        <f t="shared" si="9"/>
        <v>0</v>
      </c>
      <c r="L22" s="126">
        <f t="shared" si="9"/>
        <v>0</v>
      </c>
      <c r="M22" s="126">
        <f t="shared" si="9"/>
        <v>0</v>
      </c>
      <c r="N22" s="126">
        <f t="shared" si="9"/>
        <v>0</v>
      </c>
      <c r="O22" s="126">
        <f t="shared" si="9"/>
        <v>0</v>
      </c>
    </row>
    <row r="23" spans="2:17" ht="9" customHeight="1">
      <c r="B23" s="127" t="s">
        <v>196</v>
      </c>
      <c r="C23" s="139"/>
      <c r="D23" s="128"/>
      <c r="E23" s="129">
        <f>SUM(E21:E22)</f>
        <v>0</v>
      </c>
      <c r="F23" s="129">
        <f t="shared" ref="F23:O23" si="10">SUM(F21:F22)</f>
        <v>0</v>
      </c>
      <c r="G23" s="129">
        <f t="shared" si="10"/>
        <v>0</v>
      </c>
      <c r="H23" s="129">
        <f t="shared" si="10"/>
        <v>-5241.13380375</v>
      </c>
      <c r="I23" s="129">
        <f t="shared" si="10"/>
        <v>-5241.13380375</v>
      </c>
      <c r="J23" s="129">
        <f t="shared" si="10"/>
        <v>-5241.13380375</v>
      </c>
      <c r="K23" s="129">
        <f t="shared" si="10"/>
        <v>-5241.13380375</v>
      </c>
      <c r="L23" s="129">
        <f t="shared" si="10"/>
        <v>-5241.13380375</v>
      </c>
      <c r="M23" s="129">
        <f t="shared" si="10"/>
        <v>-5241.13380375</v>
      </c>
      <c r="N23" s="129">
        <f t="shared" si="10"/>
        <v>-5241.13380375</v>
      </c>
      <c r="O23" s="129">
        <f t="shared" si="10"/>
        <v>-5241.13380375</v>
      </c>
    </row>
    <row r="24" spans="2:17" ht="9" customHeight="1">
      <c r="B24" s="121"/>
      <c r="C24" s="139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2:17" ht="9" customHeight="1">
      <c r="B25" s="121" t="s">
        <v>171</v>
      </c>
      <c r="C25" s="139"/>
      <c r="D25" s="124">
        <f>(hotelconstructioncostPSF*(1-$K5))+((hotelconstructioncostPSF*(1+premiumprices)*$K5))</f>
        <v>225</v>
      </c>
      <c r="E25" s="125">
        <f>-IF(OR(E$2=$H5,E$2=$H6,AND(E$2&gt;$H5,E$2&lt;$H6)),(INDEX(summary!$A$2:$D$24,MATCH($D6,summary!$A$2:$A$24,0),MATCH($D5,summary!$A$2:$D$2,0)))/Constructiontime)*($D25*((1+Inflation)^(E$2-1)))*(1+Developerfee)</f>
        <v>0</v>
      </c>
      <c r="F25" s="125">
        <f>-IF(OR(F$2=$H5,F$2=$H6,AND(F$2&gt;$H5,F$2&lt;$H6)),(INDEX(summary!$A$2:$D$24,MATCH($D6,summary!$A$2:$A$24,0),MATCH($D5,summary!$A$2:$D$2,0)))/Constructiontime)*($D25*((1+Inflation)^(F$2-1)))*(1+Developerfee)</f>
        <v>-18081911.6229375</v>
      </c>
      <c r="G25" s="125">
        <f>-IF(OR(G$2=$H5,G$2=$H6,AND(G$2&gt;$H5,G$2&lt;$H6)),(INDEX(summary!$A$2:$D$24,MATCH($D6,summary!$A$2:$A$24,0),MATCH($D5,summary!$A$2:$D$2,0)))/Constructiontime)*($D25*((1+Inflation)^(G$2-1)))*(1+Developerfee)</f>
        <v>-18443549.855396248</v>
      </c>
      <c r="H25" s="125">
        <f>-IF(OR(H$2=$H5,H$2=$H6,AND(H$2&gt;$H5,H$2&lt;$H6)),(INDEX(summary!$A$2:$D$24,MATCH($D6,summary!$A$2:$A$24,0),MATCH($D5,summary!$A$2:$D$2,0)))/Constructiontime)*($D25*((1+Inflation)^(H$2-1)))*(1+Developerfee)</f>
        <v>0</v>
      </c>
      <c r="I25" s="125">
        <f>-IF(OR(I$2=$H5,I$2=$H6,AND(I$2&gt;$H5,I$2&lt;$H6)),(INDEX(summary!$A$2:$D$24,MATCH($D6,summary!$A$2:$A$24,0),MATCH($D5,summary!$A$2:$D$2,0)))/Constructiontime)*($D25*((1+Inflation)^(I$2-1)))*(1+Developerfee)</f>
        <v>0</v>
      </c>
      <c r="J25" s="125">
        <f>-IF(OR(J$2=$H5,J$2=$H6,AND(J$2&gt;$H5,J$2&lt;$H6)),(INDEX(summary!$A$2:$D$24,MATCH($D6,summary!$A$2:$A$24,0),MATCH($D5,summary!$A$2:$D$2,0)))/Constructiontime)*($D25*((1+Inflation)^(J$2-1)))*(1+Developerfee)</f>
        <v>0</v>
      </c>
      <c r="K25" s="125">
        <f>-IF(OR(K$2=$H5,K$2=$H6,AND(K$2&gt;$H5,K$2&lt;$H6)),(INDEX(summary!$A$2:$D$24,MATCH($D6,summary!$A$2:$A$24,0),MATCH($D5,summary!$A$2:$D$2,0)))/Constructiontime)*($D25*((1+Inflation)^(K$2-1)))*(1+Developerfee)</f>
        <v>0</v>
      </c>
      <c r="L25" s="125">
        <f>-IF(OR(L$2=$H5,L$2=$H6,AND(L$2&gt;$H5,L$2&lt;$H6)),(INDEX(summary!$A$2:$D$24,MATCH($D6,summary!$A$2:$A$24,0),MATCH($D5,summary!$A$2:$D$2,0)))/Constructiontime)*($D25*((1+Inflation)^(L$2-1)))*(1+Developerfee)</f>
        <v>0</v>
      </c>
      <c r="M25" s="125">
        <f>-IF(OR(M$2=$H5,M$2=$H6,AND(M$2&gt;$H5,M$2&lt;$H6)),(INDEX(summary!$A$2:$D$24,MATCH($D6,summary!$A$2:$A$24,0),MATCH($D5,summary!$A$2:$D$2,0)))/Constructiontime)*($D25*((1+Inflation)^(M$2-1)))*(1+Developerfee)</f>
        <v>0</v>
      </c>
      <c r="N25" s="125">
        <f>-IF(OR(N$2=$H5,N$2=$H6,AND(N$2&gt;$H5,N$2&lt;$H6)),(INDEX(summary!$A$2:$D$24,MATCH($D6,summary!$A$2:$A$24,0),MATCH($D5,summary!$A$2:$D$2,0)))/Constructiontime)*($D25*((1+Inflation)^(N$2-1)))*(1+Developerfee)</f>
        <v>0</v>
      </c>
      <c r="O25" s="125">
        <f>-IF(OR(O$2=$H5,O$2=$H6,AND(O$2&gt;$H5,O$2&lt;$H6)),(INDEX(summary!$A$2:$D$24,MATCH($D6,summary!$A$2:$A$24,0),MATCH($D5,summary!$A$2:$D$2,0)))/Constructiontime)*($D25*((1+Inflation)^(O$2-1)))*(1+Developerfee)</f>
        <v>0</v>
      </c>
    </row>
    <row r="26" spans="2:17" ht="9" customHeight="1">
      <c r="B26" s="121" t="s">
        <v>198</v>
      </c>
      <c r="C26" s="139" t="s">
        <v>190</v>
      </c>
      <c r="D26" s="138">
        <f>(INDEX(cockpit!$J$6:$X$16,MATCH($D6,cockpit!$J$6:$J$16,0),MATCH($C26,cockpit!$J$6:$X$6,0))*(1-$K5))+((INDEX(cockpit!$J$6:$X$16,MATCH($D6,cockpit!$J$6:$J$16,0),MATCH($C26,cockpit!$J$6:$X$6,0))-(Premiumexitcaprate))*$K5)</f>
        <v>7.0000000000000007E-2</v>
      </c>
      <c r="E26" s="126">
        <f t="shared" ref="E26:O26" si="11">IF(E$2=dispositionyear,E19/$D26,0)*(1-Closingcosts)</f>
        <v>0</v>
      </c>
      <c r="F26" s="126">
        <f t="shared" si="11"/>
        <v>0</v>
      </c>
      <c r="G26" s="126">
        <f t="shared" si="11"/>
        <v>0</v>
      </c>
      <c r="H26" s="126">
        <f t="shared" si="11"/>
        <v>0</v>
      </c>
      <c r="I26" s="126">
        <f t="shared" si="11"/>
        <v>0</v>
      </c>
      <c r="J26" s="126">
        <f t="shared" si="11"/>
        <v>0</v>
      </c>
      <c r="K26" s="126">
        <f t="shared" si="11"/>
        <v>0</v>
      </c>
      <c r="L26" s="126">
        <f t="shared" si="11"/>
        <v>0</v>
      </c>
      <c r="M26" s="126">
        <f t="shared" si="11"/>
        <v>0</v>
      </c>
      <c r="N26" s="126">
        <f t="shared" si="11"/>
        <v>0</v>
      </c>
      <c r="O26" s="126">
        <f t="shared" si="11"/>
        <v>49676481.91313187</v>
      </c>
    </row>
    <row r="27" spans="2:17" ht="9" customHeight="1">
      <c r="B27" s="127" t="s">
        <v>197</v>
      </c>
      <c r="C27" s="139"/>
      <c r="D27" s="123"/>
      <c r="E27" s="129">
        <f>SUM(E25:E26)</f>
        <v>0</v>
      </c>
      <c r="F27" s="129">
        <f t="shared" ref="F27:O27" si="12">SUM(F25:F26)</f>
        <v>-18081911.6229375</v>
      </c>
      <c r="G27" s="129">
        <f t="shared" si="12"/>
        <v>-18443549.855396248</v>
      </c>
      <c r="H27" s="129">
        <f t="shared" si="12"/>
        <v>0</v>
      </c>
      <c r="I27" s="129">
        <f t="shared" si="12"/>
        <v>0</v>
      </c>
      <c r="J27" s="129">
        <f t="shared" si="12"/>
        <v>0</v>
      </c>
      <c r="K27" s="129">
        <f t="shared" si="12"/>
        <v>0</v>
      </c>
      <c r="L27" s="129">
        <f t="shared" si="12"/>
        <v>0</v>
      </c>
      <c r="M27" s="129">
        <f t="shared" si="12"/>
        <v>0</v>
      </c>
      <c r="N27" s="129">
        <f t="shared" si="12"/>
        <v>0</v>
      </c>
      <c r="O27" s="129">
        <f t="shared" si="12"/>
        <v>49676481.91313187</v>
      </c>
    </row>
    <row r="28" spans="2:17" ht="9" customHeight="1">
      <c r="B28" s="121"/>
      <c r="C28" s="139"/>
      <c r="D28" s="123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</row>
    <row r="29" spans="2:17" ht="9" customHeight="1">
      <c r="B29" s="127" t="s">
        <v>170</v>
      </c>
      <c r="C29" s="127"/>
      <c r="D29" s="130">
        <f ca="1">IRR(OFFSET(E29,0,0,1,Investmenthorizon+1))</f>
        <v>0.10988740747429704</v>
      </c>
      <c r="E29" s="131">
        <f>SUM(E19,E23,E27)</f>
        <v>0</v>
      </c>
      <c r="F29" s="131">
        <f t="shared" ref="F29:O29" si="13">SUM(F19,F23,F27)</f>
        <v>-18081911.6229375</v>
      </c>
      <c r="G29" s="131">
        <f t="shared" si="13"/>
        <v>-18443549.855396248</v>
      </c>
      <c r="H29" s="131">
        <f t="shared" si="13"/>
        <v>3099626.2382008517</v>
      </c>
      <c r="I29" s="131">
        <f t="shared" si="13"/>
        <v>3161723.5856409427</v>
      </c>
      <c r="J29" s="131">
        <f t="shared" si="13"/>
        <v>3225062.8800298367</v>
      </c>
      <c r="K29" s="131">
        <f t="shared" si="13"/>
        <v>3289668.9603065094</v>
      </c>
      <c r="L29" s="131">
        <f t="shared" si="13"/>
        <v>3355567.1621887139</v>
      </c>
      <c r="M29" s="131">
        <f t="shared" si="13"/>
        <v>3422783.3281085631</v>
      </c>
      <c r="N29" s="131">
        <f t="shared" si="13"/>
        <v>3491343.8173468104</v>
      </c>
      <c r="O29" s="131">
        <f t="shared" si="13"/>
        <v>53237757.42950169</v>
      </c>
    </row>
    <row r="30" spans="2:17" ht="9" customHeight="1" thickBot="1"/>
    <row r="31" spans="2:17" ht="9" customHeight="1">
      <c r="B31" s="144" t="s">
        <v>199</v>
      </c>
      <c r="C31" s="145"/>
      <c r="D31" s="145"/>
      <c r="E31" s="156"/>
      <c r="F31" s="157"/>
      <c r="G31" s="157"/>
      <c r="H31" s="157"/>
      <c r="I31" s="157"/>
      <c r="J31" s="157"/>
      <c r="K31" s="146"/>
      <c r="L31" s="119"/>
      <c r="M31" s="119"/>
      <c r="N31" s="119"/>
      <c r="O31" s="119"/>
    </row>
    <row r="32" spans="2:17" ht="9" customHeight="1">
      <c r="B32" s="147" t="s">
        <v>89</v>
      </c>
      <c r="C32" s="142"/>
      <c r="D32" s="155">
        <v>2</v>
      </c>
      <c r="E32" s="140"/>
      <c r="F32" s="140"/>
      <c r="G32" s="141" t="s">
        <v>205</v>
      </c>
      <c r="H32" s="161">
        <f>Phase2begin</f>
        <v>3</v>
      </c>
      <c r="I32" s="140"/>
      <c r="J32" s="141" t="s">
        <v>202</v>
      </c>
      <c r="K32" s="158">
        <f>summary!AH20</f>
        <v>1</v>
      </c>
      <c r="L32" s="117"/>
      <c r="M32" s="117"/>
      <c r="N32" s="117"/>
      <c r="O32" s="117"/>
    </row>
    <row r="33" spans="2:15" ht="9" customHeight="1">
      <c r="B33" s="147" t="s">
        <v>94</v>
      </c>
      <c r="C33" s="142"/>
      <c r="D33" s="152" t="s">
        <v>223</v>
      </c>
      <c r="E33" s="140"/>
      <c r="F33" s="140"/>
      <c r="G33" s="141" t="s">
        <v>206</v>
      </c>
      <c r="H33" s="161">
        <f>Phase2end</f>
        <v>4</v>
      </c>
      <c r="I33" s="140"/>
      <c r="J33" s="140"/>
      <c r="K33" s="148"/>
      <c r="L33" s="117"/>
      <c r="M33" s="117"/>
      <c r="N33" s="117"/>
      <c r="O33" s="117"/>
    </row>
    <row r="34" spans="2:15" ht="9" customHeight="1" thickBot="1">
      <c r="B34" s="159"/>
      <c r="C34" s="160"/>
      <c r="D34" s="160"/>
      <c r="E34" s="160"/>
      <c r="F34" s="160"/>
      <c r="G34" s="150" t="s">
        <v>200</v>
      </c>
      <c r="H34" s="153">
        <f>Phase2open</f>
        <v>5</v>
      </c>
      <c r="I34" s="160"/>
      <c r="J34" s="160"/>
      <c r="K34" s="149"/>
      <c r="L34" s="117"/>
      <c r="M34" s="117"/>
      <c r="N34" s="117"/>
      <c r="O34" s="117"/>
    </row>
    <row r="35" spans="2:15" ht="9" customHeight="1">
      <c r="B35" s="117"/>
      <c r="C35" s="136"/>
      <c r="D35" s="120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2:15" ht="9" customHeight="1">
      <c r="B36" s="121" t="s">
        <v>183</v>
      </c>
      <c r="C36" s="121"/>
      <c r="D36" s="117"/>
      <c r="E36" s="122">
        <f>IF(OR(E$2=$H34,E$2&gt;$H34),INDEX(summary!$A$2:$D$24,MATCH($D33,summary!$A$2:$A$24,0),MATCH($D32,summary!$A$2:$D$2,0)),0)</f>
        <v>0</v>
      </c>
      <c r="F36" s="122">
        <f>IF(OR(F$2=$H34,F$2&gt;$H34),INDEX(summary!$A$2:$D$24,MATCH($D33,summary!$A$2:$A$24,0),MATCH($D32,summary!$A$2:$D$2,0)),0)</f>
        <v>0</v>
      </c>
      <c r="G36" s="122">
        <f>IF(OR(G$2=$H34,G$2&gt;$H34),INDEX(summary!$A$2:$D$24,MATCH($D33,summary!$A$2:$A$24,0),MATCH($D32,summary!$A$2:$D$2,0)),0)</f>
        <v>0</v>
      </c>
      <c r="H36" s="122">
        <f>IF(OR(H$2=$H34,H$2&gt;$H34),INDEX(summary!$A$2:$D$24,MATCH($D33,summary!$A$2:$A$24,0),MATCH($D32,summary!$A$2:$D$2,0)),0)</f>
        <v>0</v>
      </c>
      <c r="I36" s="122">
        <f>IF(OR(I$2=$H34,I$2&gt;$H34),INDEX(summary!$A$2:$D$24,MATCH($D33,summary!$A$2:$A$24,0),MATCH($D32,summary!$A$2:$D$2,0)),0)</f>
        <v>0</v>
      </c>
      <c r="J36" s="122">
        <f>IF(OR(J$2=$H34,J$2&gt;$H34),INDEX(summary!$A$2:$D$24,MATCH($D33,summary!$A$2:$A$24,0),MATCH($D32,summary!$A$2:$D$2,0)),0)</f>
        <v>223220.08420000001</v>
      </c>
      <c r="K36" s="122">
        <f>IF(OR(K$2=$H34,K$2&gt;$H34),INDEX(summary!$A$2:$D$24,MATCH($D33,summary!$A$2:$A$24,0),MATCH($D32,summary!$A$2:$D$2,0)),0)</f>
        <v>223220.08420000001</v>
      </c>
      <c r="L36" s="122">
        <f>IF(OR(L$2=$H34,L$2&gt;$H34),INDEX(summary!$A$2:$D$24,MATCH($D33,summary!$A$2:$A$24,0),MATCH($D32,summary!$A$2:$D$2,0)),0)</f>
        <v>223220.08420000001</v>
      </c>
      <c r="M36" s="122">
        <f>IF(OR(M$2=$H34,M$2&gt;$H34),INDEX(summary!$A$2:$D$24,MATCH($D33,summary!$A$2:$A$24,0),MATCH($D32,summary!$A$2:$D$2,0)),0)</f>
        <v>223220.08420000001</v>
      </c>
      <c r="N36" s="122">
        <f>IF(OR(N$2=$H34,N$2&gt;$H34),INDEX(summary!$A$2:$D$24,MATCH($D33,summary!$A$2:$A$24,0),MATCH($D32,summary!$A$2:$D$2,0)),0)</f>
        <v>223220.08420000001</v>
      </c>
      <c r="O36" s="122">
        <f>IF(OR(O$2=$H34,O$2&gt;$H34),INDEX(summary!$A$2:$D$24,MATCH($D33,summary!$A$2:$A$24,0),MATCH($D32,summary!$A$2:$D$2,0)),0)</f>
        <v>223220.08420000001</v>
      </c>
    </row>
    <row r="37" spans="2:15" ht="9" customHeight="1">
      <c r="B37" s="121" t="s">
        <v>195</v>
      </c>
      <c r="C37" s="137" t="s">
        <v>192</v>
      </c>
      <c r="D37" s="123">
        <f>INDEX(cockpit!$J$6:$X$16,MATCH($D33,cockpit!$J$6:$J$16,0),MATCH($C$10,cockpit!$J$6:$X$6,0))</f>
        <v>0.25</v>
      </c>
      <c r="E37" s="122">
        <f>E36*(1-$D37)</f>
        <v>0</v>
      </c>
      <c r="F37" s="122">
        <f t="shared" ref="F37:O37" si="14">F36*(1-$D37)</f>
        <v>0</v>
      </c>
      <c r="G37" s="122">
        <f t="shared" si="14"/>
        <v>0</v>
      </c>
      <c r="H37" s="122">
        <f t="shared" si="14"/>
        <v>0</v>
      </c>
      <c r="I37" s="122">
        <f t="shared" si="14"/>
        <v>0</v>
      </c>
      <c r="J37" s="122">
        <f t="shared" si="14"/>
        <v>167415.06315</v>
      </c>
      <c r="K37" s="122">
        <f t="shared" si="14"/>
        <v>167415.06315</v>
      </c>
      <c r="L37" s="122">
        <f t="shared" si="14"/>
        <v>167415.06315</v>
      </c>
      <c r="M37" s="122">
        <f t="shared" si="14"/>
        <v>167415.06315</v>
      </c>
      <c r="N37" s="122">
        <f t="shared" si="14"/>
        <v>167415.06315</v>
      </c>
      <c r="O37" s="122">
        <f t="shared" si="14"/>
        <v>167415.06315</v>
      </c>
    </row>
    <row r="38" spans="2:15" ht="9" customHeight="1">
      <c r="B38" s="121" t="s">
        <v>181</v>
      </c>
      <c r="C38" s="137" t="s">
        <v>153</v>
      </c>
      <c r="D38" s="138">
        <f>Hotelrampup</f>
        <v>0.65</v>
      </c>
      <c r="E38" s="122">
        <f>IF(OR(E$2=$H34,AND(E$2&gt;$H34,E$2&lt;(SUM($H34,INDEX(cockpit!$J$6:$X$16,MATCH($D33,cockpit!$J$6:$J$16,0),MATCH($C$11,cockpit!$J$6:$X$6,0)))))),E37*$D38,0)</f>
        <v>0</v>
      </c>
      <c r="F38" s="122">
        <f>IF(OR(F$2=$H34,AND(F$2&gt;$H34,F$2&lt;(SUM($H34,INDEX(cockpit!$J$6:$X$16,MATCH($D33,cockpit!$J$6:$J$16,0),MATCH($C$11,cockpit!$J$6:$X$6,0)))))),F37*$D38,0)</f>
        <v>0</v>
      </c>
      <c r="G38" s="122">
        <f>IF(OR(G$2=$H34,AND(G$2&gt;$H34,G$2&lt;(SUM($H34,INDEX(cockpit!$J$6:$X$16,MATCH($D33,cockpit!$J$6:$J$16,0),MATCH($C$11,cockpit!$J$6:$X$6,0)))))),G37*$D38,0)</f>
        <v>0</v>
      </c>
      <c r="H38" s="122">
        <f>IF(OR(H$2=$H34,AND(H$2&gt;$H34,H$2&lt;(SUM($H34,INDEX(cockpit!$J$6:$X$16,MATCH($D33,cockpit!$J$6:$J$16,0),MATCH($C$11,cockpit!$J$6:$X$6,0)))))),H37*$D38,0)</f>
        <v>0</v>
      </c>
      <c r="I38" s="122">
        <f>IF(OR(I$2=$H34,AND(I$2&gt;$H34,I$2&lt;(SUM($H34,INDEX(cockpit!$J$6:$X$16,MATCH($D33,cockpit!$J$6:$J$16,0),MATCH($C$11,cockpit!$J$6:$X$6,0)))))),I37*$D38,0)</f>
        <v>0</v>
      </c>
      <c r="J38" s="122">
        <f>IF(OR(J$2=$H34,AND(J$2&gt;$H34,J$2&lt;(SUM($H34,INDEX(cockpit!$J$6:$X$16,MATCH($D33,cockpit!$J$6:$J$16,0),MATCH($C$11,cockpit!$J$6:$X$6,0)))))),J37*$D38,0)</f>
        <v>108819.79104750001</v>
      </c>
      <c r="K38" s="122">
        <f>IF(OR(K$2=$H34,AND(K$2&gt;$H34,K$2&lt;(SUM($H34,INDEX(cockpit!$J$6:$X$16,MATCH($D33,cockpit!$J$6:$J$16,0),MATCH($C$11,cockpit!$J$6:$X$6,0)))))),K37*$D38,0)</f>
        <v>0</v>
      </c>
      <c r="L38" s="122">
        <f>IF(OR(L$2=$H34,AND(L$2&gt;$H34,L$2&lt;(SUM($H34,INDEX(cockpit!$J$6:$X$16,MATCH($D33,cockpit!$J$6:$J$16,0),MATCH($C$11,cockpit!$J$6:$X$6,0)))))),L37*$D38,0)</f>
        <v>0</v>
      </c>
      <c r="M38" s="122">
        <f>IF(OR(M$2=$H34,AND(M$2&gt;$H34,M$2&lt;(SUM($H34,INDEX(cockpit!$J$6:$X$16,MATCH($D33,cockpit!$J$6:$J$16,0),MATCH($C$11,cockpit!$J$6:$X$6,0)))))),M37*$D38,0)</f>
        <v>0</v>
      </c>
      <c r="N38" s="122">
        <f>IF(OR(N$2=$H34,AND(N$2&gt;$H34,N$2&lt;(SUM($H34,INDEX(cockpit!$J$6:$X$16,MATCH($D33,cockpit!$J$6:$J$16,0),MATCH($C$11,cockpit!$J$6:$X$6,0)))))),N37*$D38,0)</f>
        <v>0</v>
      </c>
      <c r="O38" s="122">
        <f>IF(OR(O$2=$H34,AND(O$2&gt;$H34,O$2&lt;(SUM($H34,INDEX(cockpit!$J$6:$X$16,MATCH($D33,cockpit!$J$6:$J$16,0),MATCH($C$11,cockpit!$J$6:$X$6,0)))))),O37*$D38,0)</f>
        <v>0</v>
      </c>
    </row>
    <row r="39" spans="2:15" ht="9" customHeight="1">
      <c r="B39" s="121" t="s">
        <v>182</v>
      </c>
      <c r="C39" s="139"/>
      <c r="D39" s="117"/>
      <c r="E39" s="122">
        <f>SUM($E38:E38)</f>
        <v>0</v>
      </c>
      <c r="F39" s="122">
        <f>SUM($E38:F38)</f>
        <v>0</v>
      </c>
      <c r="G39" s="122">
        <f>SUM($E38:G38)</f>
        <v>0</v>
      </c>
      <c r="H39" s="122">
        <f>SUM($E38:H38)</f>
        <v>0</v>
      </c>
      <c r="I39" s="122">
        <f>SUM($E38:I38)</f>
        <v>0</v>
      </c>
      <c r="J39" s="122">
        <f>SUM($E38:J38)</f>
        <v>108819.79104750001</v>
      </c>
      <c r="K39" s="122">
        <f>SUM($E38:K38)</f>
        <v>108819.79104750001</v>
      </c>
      <c r="L39" s="122">
        <f>SUM($E38:L38)</f>
        <v>108819.79104750001</v>
      </c>
      <c r="M39" s="122">
        <f>SUM($E38:M38)</f>
        <v>108819.79104750001</v>
      </c>
      <c r="N39" s="122">
        <f>SUM($E38:N38)</f>
        <v>108819.79104750001</v>
      </c>
      <c r="O39" s="122">
        <f>SUM($E38:O38)</f>
        <v>108819.79104750001</v>
      </c>
    </row>
    <row r="40" spans="2:15" ht="9" customHeight="1">
      <c r="B40" s="121" t="s">
        <v>233</v>
      </c>
      <c r="C40" s="139"/>
      <c r="D40" s="117"/>
      <c r="E40" s="122">
        <f t="shared" ref="E40:O40" si="15">E39/Hotelaverageroomsize</f>
        <v>0</v>
      </c>
      <c r="F40" s="122">
        <f t="shared" si="15"/>
        <v>0</v>
      </c>
      <c r="G40" s="122">
        <f t="shared" si="15"/>
        <v>0</v>
      </c>
      <c r="H40" s="122">
        <f t="shared" si="15"/>
        <v>0</v>
      </c>
      <c r="I40" s="122">
        <f t="shared" si="15"/>
        <v>0</v>
      </c>
      <c r="J40" s="122">
        <f t="shared" si="15"/>
        <v>334.83012630000002</v>
      </c>
      <c r="K40" s="122">
        <f t="shared" si="15"/>
        <v>334.83012630000002</v>
      </c>
      <c r="L40" s="122">
        <f t="shared" si="15"/>
        <v>334.83012630000002</v>
      </c>
      <c r="M40" s="122">
        <f t="shared" si="15"/>
        <v>334.83012630000002</v>
      </c>
      <c r="N40" s="122">
        <f t="shared" si="15"/>
        <v>334.83012630000002</v>
      </c>
      <c r="O40" s="122">
        <f t="shared" si="15"/>
        <v>334.83012630000002</v>
      </c>
    </row>
    <row r="41" spans="2:15" ht="9" customHeight="1">
      <c r="B41" s="117"/>
      <c r="C41" s="139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2:15" ht="9" customHeight="1">
      <c r="B42" s="121" t="s">
        <v>236</v>
      </c>
      <c r="C42" s="139"/>
      <c r="D42" s="124">
        <f>(hoteladr*(1-$K32))+((hoteladr*(1+premiumprices)*$K32))</f>
        <v>180</v>
      </c>
      <c r="E42" s="125">
        <f t="shared" ref="E42:O42" si="16">(E40*(($D42)*((1+Inflation)^(E$2-1))))*365</f>
        <v>0</v>
      </c>
      <c r="F42" s="125">
        <f t="shared" si="16"/>
        <v>0</v>
      </c>
      <c r="G42" s="125">
        <f t="shared" si="16"/>
        <v>0</v>
      </c>
      <c r="H42" s="125">
        <f t="shared" si="16"/>
        <v>0</v>
      </c>
      <c r="I42" s="125">
        <f t="shared" si="16"/>
        <v>0</v>
      </c>
      <c r="J42" s="125">
        <f t="shared" si="16"/>
        <v>23811709.922649607</v>
      </c>
      <c r="K42" s="125">
        <f t="shared" si="16"/>
        <v>24287944.121102598</v>
      </c>
      <c r="L42" s="125">
        <f t="shared" si="16"/>
        <v>24773703.00352465</v>
      </c>
      <c r="M42" s="125">
        <f t="shared" si="16"/>
        <v>25269177.063595138</v>
      </c>
      <c r="N42" s="125">
        <f t="shared" si="16"/>
        <v>25774560.604867041</v>
      </c>
      <c r="O42" s="125">
        <f t="shared" si="16"/>
        <v>26290051.816964388</v>
      </c>
    </row>
    <row r="43" spans="2:15" ht="9" customHeight="1">
      <c r="B43" s="121" t="s">
        <v>124</v>
      </c>
      <c r="C43" s="139"/>
      <c r="D43" s="123">
        <f>INDEX(cockpit!$J$6:$X$16,MATCH($D33,cockpit!$J$6:$J$16,0),MATCH($B43,cockpit!$J$6:$X$6,0))</f>
        <v>0.2</v>
      </c>
      <c r="E43" s="129">
        <f t="shared" ref="E43:O43" si="17">-IF($D43&gt;1,E36*($D43*((1+Inflation)^(E$2-1))),E42*(1-$D43))</f>
        <v>0</v>
      </c>
      <c r="F43" s="129">
        <f t="shared" si="17"/>
        <v>0</v>
      </c>
      <c r="G43" s="129">
        <f t="shared" si="17"/>
        <v>0</v>
      </c>
      <c r="H43" s="129">
        <f t="shared" si="17"/>
        <v>0</v>
      </c>
      <c r="I43" s="129">
        <f t="shared" si="17"/>
        <v>0</v>
      </c>
      <c r="J43" s="129">
        <f t="shared" si="17"/>
        <v>-19049367.938119687</v>
      </c>
      <c r="K43" s="129">
        <f t="shared" si="17"/>
        <v>-19430355.296882078</v>
      </c>
      <c r="L43" s="129">
        <f t="shared" si="17"/>
        <v>-19818962.402819719</v>
      </c>
      <c r="M43" s="129">
        <f t="shared" si="17"/>
        <v>-20215341.650876112</v>
      </c>
      <c r="N43" s="129">
        <f t="shared" si="17"/>
        <v>-20619648.483893633</v>
      </c>
      <c r="O43" s="129">
        <f t="shared" si="17"/>
        <v>-21032041.453571513</v>
      </c>
    </row>
    <row r="44" spans="2:15" ht="9" customHeight="1">
      <c r="B44" s="134" t="s">
        <v>234</v>
      </c>
      <c r="C44" s="139"/>
      <c r="D44" s="123">
        <f>hotelfoodandbeverageincome</f>
        <v>0.3</v>
      </c>
      <c r="E44" s="129">
        <f t="shared" ref="E44:O44" si="18">E42*$D44*hotelfoodandbeveragemargin</f>
        <v>0</v>
      </c>
      <c r="F44" s="129">
        <f t="shared" si="18"/>
        <v>0</v>
      </c>
      <c r="G44" s="129">
        <f t="shared" si="18"/>
        <v>0</v>
      </c>
      <c r="H44" s="129">
        <f t="shared" si="18"/>
        <v>0</v>
      </c>
      <c r="I44" s="129">
        <f t="shared" si="18"/>
        <v>0</v>
      </c>
      <c r="J44" s="129">
        <f t="shared" si="18"/>
        <v>1071526.9465192321</v>
      </c>
      <c r="K44" s="129">
        <f t="shared" si="18"/>
        <v>1092957.4854496168</v>
      </c>
      <c r="L44" s="129">
        <f t="shared" si="18"/>
        <v>1114816.6351586091</v>
      </c>
      <c r="M44" s="129">
        <f t="shared" si="18"/>
        <v>1137112.9678617811</v>
      </c>
      <c r="N44" s="129">
        <f t="shared" si="18"/>
        <v>1159855.2272190168</v>
      </c>
      <c r="O44" s="129">
        <f t="shared" si="18"/>
        <v>1183052.3317633972</v>
      </c>
    </row>
    <row r="45" spans="2:15" ht="9" customHeight="1">
      <c r="B45" s="134" t="s">
        <v>235</v>
      </c>
      <c r="C45" s="139"/>
      <c r="D45" s="123">
        <f>hotelotherincome</f>
        <v>0.1</v>
      </c>
      <c r="E45" s="126">
        <f t="shared" ref="E45:O45" si="19">E42*$D45*hotelotherincomemargin</f>
        <v>0</v>
      </c>
      <c r="F45" s="126">
        <f t="shared" si="19"/>
        <v>0</v>
      </c>
      <c r="G45" s="126">
        <f t="shared" si="19"/>
        <v>0</v>
      </c>
      <c r="H45" s="126">
        <f t="shared" si="19"/>
        <v>0</v>
      </c>
      <c r="I45" s="126">
        <f t="shared" si="19"/>
        <v>0</v>
      </c>
      <c r="J45" s="126">
        <f t="shared" si="19"/>
        <v>357175.6488397441</v>
      </c>
      <c r="K45" s="126">
        <f t="shared" si="19"/>
        <v>364319.16181653895</v>
      </c>
      <c r="L45" s="126">
        <f t="shared" si="19"/>
        <v>371605.54505286971</v>
      </c>
      <c r="M45" s="126">
        <f t="shared" si="19"/>
        <v>379037.65595392708</v>
      </c>
      <c r="N45" s="126">
        <f t="shared" si="19"/>
        <v>386618.40907300561</v>
      </c>
      <c r="O45" s="126">
        <f t="shared" si="19"/>
        <v>394350.77725446585</v>
      </c>
    </row>
    <row r="46" spans="2:15" ht="9" customHeight="1">
      <c r="B46" s="127" t="s">
        <v>168</v>
      </c>
      <c r="C46" s="139"/>
      <c r="D46" s="117"/>
      <c r="E46" s="125">
        <f t="shared" ref="E46:O46" si="20">SUM(E42:E45)</f>
        <v>0</v>
      </c>
      <c r="F46" s="125">
        <f t="shared" si="20"/>
        <v>0</v>
      </c>
      <c r="G46" s="125">
        <f t="shared" si="20"/>
        <v>0</v>
      </c>
      <c r="H46" s="125">
        <f t="shared" si="20"/>
        <v>0</v>
      </c>
      <c r="I46" s="125">
        <f t="shared" si="20"/>
        <v>0</v>
      </c>
      <c r="J46" s="125">
        <f t="shared" si="20"/>
        <v>6191044.5798888961</v>
      </c>
      <c r="K46" s="125">
        <f t="shared" si="20"/>
        <v>6314865.4714866756</v>
      </c>
      <c r="L46" s="125">
        <f t="shared" si="20"/>
        <v>6441162.7809164096</v>
      </c>
      <c r="M46" s="125">
        <f t="shared" si="20"/>
        <v>6569986.0365347341</v>
      </c>
      <c r="N46" s="125">
        <f t="shared" si="20"/>
        <v>6701385.7572654309</v>
      </c>
      <c r="O46" s="125">
        <f t="shared" si="20"/>
        <v>6835413.4724107375</v>
      </c>
    </row>
    <row r="47" spans="2:15" ht="9" customHeight="1">
      <c r="B47" s="117"/>
      <c r="C47" s="139"/>
      <c r="D47" s="117"/>
      <c r="E47" s="217">
        <f t="shared" ref="E47:O47" si="21">IFERROR(E46/SUM(E42:E42),0)</f>
        <v>0</v>
      </c>
      <c r="F47" s="217">
        <f t="shared" si="21"/>
        <v>0</v>
      </c>
      <c r="G47" s="217">
        <f t="shared" si="21"/>
        <v>0</v>
      </c>
      <c r="H47" s="217">
        <f t="shared" si="21"/>
        <v>0</v>
      </c>
      <c r="I47" s="217">
        <f t="shared" si="21"/>
        <v>0</v>
      </c>
      <c r="J47" s="217">
        <f t="shared" si="21"/>
        <v>0.25999999999999995</v>
      </c>
      <c r="K47" s="217">
        <f t="shared" si="21"/>
        <v>0.26</v>
      </c>
      <c r="L47" s="217">
        <f t="shared" si="21"/>
        <v>0.26</v>
      </c>
      <c r="M47" s="217">
        <f t="shared" si="21"/>
        <v>0.2599999999999999</v>
      </c>
      <c r="N47" s="217">
        <f t="shared" si="21"/>
        <v>0.26</v>
      </c>
      <c r="O47" s="217">
        <f t="shared" si="21"/>
        <v>0.2599999999999999</v>
      </c>
    </row>
    <row r="48" spans="2:15" ht="9" customHeight="1">
      <c r="B48" s="121" t="s">
        <v>169</v>
      </c>
      <c r="C48" s="139"/>
      <c r="D48" s="128">
        <f>INDEX(cockpit!$J$6:$X$16,MATCH($D33,cockpit!$J$6:$J$16,0),MATCH($B48,cockpit!$J$6:$X$6,0))</f>
        <v>0.05</v>
      </c>
      <c r="E48" s="125">
        <f t="shared" ref="E48:O48" si="22">-E37*$D48</f>
        <v>0</v>
      </c>
      <c r="F48" s="125">
        <f t="shared" si="22"/>
        <v>0</v>
      </c>
      <c r="G48" s="125">
        <f t="shared" si="22"/>
        <v>0</v>
      </c>
      <c r="H48" s="125">
        <f t="shared" si="22"/>
        <v>0</v>
      </c>
      <c r="I48" s="125">
        <f t="shared" si="22"/>
        <v>0</v>
      </c>
      <c r="J48" s="125">
        <f t="shared" si="22"/>
        <v>-8370.7531575000012</v>
      </c>
      <c r="K48" s="125">
        <f t="shared" si="22"/>
        <v>-8370.7531575000012</v>
      </c>
      <c r="L48" s="125">
        <f t="shared" si="22"/>
        <v>-8370.7531575000012</v>
      </c>
      <c r="M48" s="125">
        <f t="shared" si="22"/>
        <v>-8370.7531575000012</v>
      </c>
      <c r="N48" s="125">
        <f t="shared" si="22"/>
        <v>-8370.7531575000012</v>
      </c>
      <c r="O48" s="125">
        <f t="shared" si="22"/>
        <v>-8370.7531575000012</v>
      </c>
    </row>
    <row r="49" spans="2:15" ht="9" customHeight="1">
      <c r="B49" s="121" t="s">
        <v>163</v>
      </c>
      <c r="C49" s="139"/>
      <c r="D49" s="128">
        <f>INDEX(cockpit!$J$6:$X$16,MATCH($D33,cockpit!$J$6:$J$16,0),MATCH($B49,cockpit!$J$6:$X$6,0))</f>
        <v>0</v>
      </c>
      <c r="E49" s="126">
        <f t="shared" ref="E49:O49" si="23">-E39*$D49</f>
        <v>0</v>
      </c>
      <c r="F49" s="126">
        <f t="shared" si="23"/>
        <v>0</v>
      </c>
      <c r="G49" s="126">
        <f t="shared" si="23"/>
        <v>0</v>
      </c>
      <c r="H49" s="126">
        <f t="shared" si="23"/>
        <v>0</v>
      </c>
      <c r="I49" s="126">
        <f t="shared" si="23"/>
        <v>0</v>
      </c>
      <c r="J49" s="126">
        <f t="shared" si="23"/>
        <v>0</v>
      </c>
      <c r="K49" s="126">
        <f t="shared" si="23"/>
        <v>0</v>
      </c>
      <c r="L49" s="126">
        <f t="shared" si="23"/>
        <v>0</v>
      </c>
      <c r="M49" s="126">
        <f t="shared" si="23"/>
        <v>0</v>
      </c>
      <c r="N49" s="126">
        <f t="shared" si="23"/>
        <v>0</v>
      </c>
      <c r="O49" s="126">
        <f t="shared" si="23"/>
        <v>0</v>
      </c>
    </row>
    <row r="50" spans="2:15" ht="9" customHeight="1">
      <c r="B50" s="127" t="s">
        <v>196</v>
      </c>
      <c r="C50" s="139"/>
      <c r="D50" s="128"/>
      <c r="E50" s="129">
        <f>SUM(E48:E49)</f>
        <v>0</v>
      </c>
      <c r="F50" s="129">
        <f t="shared" ref="F50:O50" si="24">SUM(F48:F49)</f>
        <v>0</v>
      </c>
      <c r="G50" s="129">
        <f t="shared" si="24"/>
        <v>0</v>
      </c>
      <c r="H50" s="129">
        <f t="shared" si="24"/>
        <v>0</v>
      </c>
      <c r="I50" s="129">
        <f t="shared" si="24"/>
        <v>0</v>
      </c>
      <c r="J50" s="129">
        <f t="shared" si="24"/>
        <v>-8370.7531575000012</v>
      </c>
      <c r="K50" s="129">
        <f t="shared" si="24"/>
        <v>-8370.7531575000012</v>
      </c>
      <c r="L50" s="129">
        <f t="shared" si="24"/>
        <v>-8370.7531575000012</v>
      </c>
      <c r="M50" s="129">
        <f t="shared" si="24"/>
        <v>-8370.7531575000012</v>
      </c>
      <c r="N50" s="129">
        <f t="shared" si="24"/>
        <v>-8370.7531575000012</v>
      </c>
      <c r="O50" s="129">
        <f t="shared" si="24"/>
        <v>-8370.7531575000012</v>
      </c>
    </row>
    <row r="51" spans="2:15" ht="9" customHeight="1">
      <c r="B51" s="121"/>
      <c r="C51" s="139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</row>
    <row r="52" spans="2:15" ht="9" customHeight="1">
      <c r="B52" s="121" t="s">
        <v>171</v>
      </c>
      <c r="C52" s="139"/>
      <c r="D52" s="124">
        <f>(hotelconstructioncostPSF*(1-$K32))+((hotelconstructioncostPSF*(1+premiumprices)*$K32))</f>
        <v>270</v>
      </c>
      <c r="E52" s="125">
        <f>-IF(OR(E$2=$H32,E$2=$H33,AND(E$2&gt;$H32,E$2&lt;$H33)),(INDEX(summary!$A$2:$D$24,MATCH($D33,summary!$A$2:$A$24,0),MATCH($D32,summary!$A$2:$D$2,0)))/Constructiontime)*($D52*((1+Inflation)^(E$2-1)))*(1+Developerfee)</f>
        <v>0</v>
      </c>
      <c r="F52" s="125">
        <f>-IF(OR(F$2=$H32,F$2=$H33,AND(F$2&gt;$H32,F$2&lt;$H33)),(INDEX(summary!$A$2:$D$24,MATCH($D33,summary!$A$2:$A$24,0),MATCH($D32,summary!$A$2:$D$2,0)))/Constructiontime)*($D52*((1+Inflation)^(F$2-1)))*(1+Developerfee)</f>
        <v>0</v>
      </c>
      <c r="G52" s="125">
        <f>-IF(OR(G$2=$H32,G$2=$H33,AND(G$2&gt;$H32,G$2&lt;$H33)),(INDEX(summary!$A$2:$D$24,MATCH($D33,summary!$A$2:$A$24,0),MATCH($D32,summary!$A$2:$D$2,0)))/Constructiontime)*($D52*((1+Inflation)^(G$2-1)))*(1+Developerfee)</f>
        <v>0</v>
      </c>
      <c r="H52" s="125">
        <f>-IF(OR(H$2=$H32,H$2=$H33,AND(H$2&gt;$H32,H$2&lt;$H33)),(INDEX(summary!$A$2:$D$24,MATCH($D33,summary!$A$2:$A$24,0),MATCH($D32,summary!$A$2:$D$2,0)))/Constructiontime)*($D52*((1+Inflation)^(H$2-1)))*(1+Developerfee)</f>
        <v>-36054976.762160823</v>
      </c>
      <c r="I52" s="125">
        <f>-IF(OR(I$2=$H32,I$2=$H33,AND(I$2&gt;$H32,I$2&lt;$H33)),(INDEX(summary!$A$2:$D$24,MATCH($D33,summary!$A$2:$A$24,0),MATCH($D32,summary!$A$2:$D$2,0)))/Constructiontime)*($D52*((1+Inflation)^(I$2-1)))*(1+Developerfee)</f>
        <v>-36776076.297404036</v>
      </c>
      <c r="J52" s="125">
        <f>-IF(OR(J$2=$H32,J$2=$H33,AND(J$2&gt;$H32,J$2&lt;$H33)),(INDEX(summary!$A$2:$D$24,MATCH($D33,summary!$A$2:$A$24,0),MATCH($D32,summary!$A$2:$D$2,0)))/Constructiontime)*($D52*((1+Inflation)^(J$2-1)))*(1+Developerfee)</f>
        <v>0</v>
      </c>
      <c r="K52" s="125">
        <f>-IF(OR(K$2=$H32,K$2=$H33,AND(K$2&gt;$H32,K$2&lt;$H33)),(INDEX(summary!$A$2:$D$24,MATCH($D33,summary!$A$2:$A$24,0),MATCH($D32,summary!$A$2:$D$2,0)))/Constructiontime)*($D52*((1+Inflation)^(K$2-1)))*(1+Developerfee)</f>
        <v>0</v>
      </c>
      <c r="L52" s="125">
        <f>-IF(OR(L$2=$H32,L$2=$H33,AND(L$2&gt;$H32,L$2&lt;$H33)),(INDEX(summary!$A$2:$D$24,MATCH($D33,summary!$A$2:$A$24,0),MATCH($D32,summary!$A$2:$D$2,0)))/Constructiontime)*($D52*((1+Inflation)^(L$2-1)))*(1+Developerfee)</f>
        <v>0</v>
      </c>
      <c r="M52" s="125">
        <f>-IF(OR(M$2=$H32,M$2=$H33,AND(M$2&gt;$H32,M$2&lt;$H33)),(INDEX(summary!$A$2:$D$24,MATCH($D33,summary!$A$2:$A$24,0),MATCH($D32,summary!$A$2:$D$2,0)))/Constructiontime)*($D52*((1+Inflation)^(M$2-1)))*(1+Developerfee)</f>
        <v>0</v>
      </c>
      <c r="N52" s="125">
        <f>-IF(OR(N$2=$H32,N$2=$H33,AND(N$2&gt;$H32,N$2&lt;$H33)),(INDEX(summary!$A$2:$D$24,MATCH($D33,summary!$A$2:$A$24,0),MATCH($D32,summary!$A$2:$D$2,0)))/Constructiontime)*($D52*((1+Inflation)^(N$2-1)))*(1+Developerfee)</f>
        <v>0</v>
      </c>
      <c r="O52" s="125">
        <f>-IF(OR(O$2=$H32,O$2=$H33,AND(O$2&gt;$H32,O$2&lt;$H33)),(INDEX(summary!$A$2:$D$24,MATCH($D33,summary!$A$2:$A$24,0),MATCH($D32,summary!$A$2:$D$2,0)))/Constructiontime)*($D52*((1+Inflation)^(O$2-1)))*(1+Developerfee)</f>
        <v>0</v>
      </c>
    </row>
    <row r="53" spans="2:15" ht="9" customHeight="1">
      <c r="B53" s="121" t="s">
        <v>198</v>
      </c>
      <c r="C53" s="139" t="s">
        <v>190</v>
      </c>
      <c r="D53" s="138">
        <f>(INDEX(cockpit!$J$6:$X$16,MATCH($D33,cockpit!$J$6:$J$16,0),MATCH($C53,cockpit!$J$6:$X$6,0))*(1-$K32))+((INDEX(cockpit!$J$6:$X$16,MATCH($D33,cockpit!$J$6:$J$16,0),MATCH($C53,cockpit!$J$6:$X$6,0))-(Premiumexitcaprate))*$K32)</f>
        <v>6.5000000000000002E-2</v>
      </c>
      <c r="E53" s="126">
        <f t="shared" ref="E53:O53" si="25">IF(E$2=dispositionyear,E46/$D53,0)*(1-Closingcosts)</f>
        <v>0</v>
      </c>
      <c r="F53" s="126">
        <f t="shared" si="25"/>
        <v>0</v>
      </c>
      <c r="G53" s="126">
        <f t="shared" si="25"/>
        <v>0</v>
      </c>
      <c r="H53" s="126">
        <f t="shared" si="25"/>
        <v>0</v>
      </c>
      <c r="I53" s="126">
        <f t="shared" si="25"/>
        <v>0</v>
      </c>
      <c r="J53" s="126">
        <f t="shared" si="25"/>
        <v>0</v>
      </c>
      <c r="K53" s="126">
        <f t="shared" si="25"/>
        <v>0</v>
      </c>
      <c r="L53" s="126">
        <f t="shared" si="25"/>
        <v>0</v>
      </c>
      <c r="M53" s="126">
        <f t="shared" si="25"/>
        <v>0</v>
      </c>
      <c r="N53" s="126">
        <f t="shared" si="25"/>
        <v>0</v>
      </c>
      <c r="O53" s="126">
        <f t="shared" si="25"/>
        <v>102531202.08616105</v>
      </c>
    </row>
    <row r="54" spans="2:15" ht="9" customHeight="1">
      <c r="B54" s="127" t="s">
        <v>197</v>
      </c>
      <c r="C54" s="139"/>
      <c r="D54" s="123"/>
      <c r="E54" s="129">
        <f>SUM(E52:E53)</f>
        <v>0</v>
      </c>
      <c r="F54" s="129">
        <f t="shared" ref="F54:O54" si="26">SUM(F52:F53)</f>
        <v>0</v>
      </c>
      <c r="G54" s="129">
        <f t="shared" si="26"/>
        <v>0</v>
      </c>
      <c r="H54" s="129">
        <f t="shared" si="26"/>
        <v>-36054976.762160823</v>
      </c>
      <c r="I54" s="129">
        <f t="shared" si="26"/>
        <v>-36776076.297404036</v>
      </c>
      <c r="J54" s="129">
        <f t="shared" si="26"/>
        <v>0</v>
      </c>
      <c r="K54" s="129">
        <f t="shared" si="26"/>
        <v>0</v>
      </c>
      <c r="L54" s="129">
        <f t="shared" si="26"/>
        <v>0</v>
      </c>
      <c r="M54" s="129">
        <f t="shared" si="26"/>
        <v>0</v>
      </c>
      <c r="N54" s="129">
        <f t="shared" si="26"/>
        <v>0</v>
      </c>
      <c r="O54" s="129">
        <f t="shared" si="26"/>
        <v>102531202.08616105</v>
      </c>
    </row>
    <row r="55" spans="2:15" ht="9" customHeight="1">
      <c r="B55" s="121"/>
      <c r="C55" s="139"/>
      <c r="D55" s="123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</row>
    <row r="56" spans="2:15" ht="9" customHeight="1">
      <c r="B56" s="127" t="s">
        <v>170</v>
      </c>
      <c r="C56" s="127"/>
      <c r="D56" s="130">
        <f ca="1">IRR(OFFSET(E56,0,0,1,Investmenthorizon+1))</f>
        <v>0.12346232634630772</v>
      </c>
      <c r="E56" s="131">
        <f>SUM(E46,E50,E54)</f>
        <v>0</v>
      </c>
      <c r="F56" s="131">
        <f t="shared" ref="F56:O56" si="27">SUM(F46,F50,F54)</f>
        <v>0</v>
      </c>
      <c r="G56" s="131">
        <f t="shared" si="27"/>
        <v>0</v>
      </c>
      <c r="H56" s="131">
        <f t="shared" si="27"/>
        <v>-36054976.762160823</v>
      </c>
      <c r="I56" s="131">
        <f t="shared" si="27"/>
        <v>-36776076.297404036</v>
      </c>
      <c r="J56" s="131">
        <f t="shared" si="27"/>
        <v>6182673.8267313959</v>
      </c>
      <c r="K56" s="131">
        <f t="shared" si="27"/>
        <v>6306494.7183291754</v>
      </c>
      <c r="L56" s="131">
        <f t="shared" si="27"/>
        <v>6432792.0277589094</v>
      </c>
      <c r="M56" s="131">
        <f t="shared" si="27"/>
        <v>6561615.2833772339</v>
      </c>
      <c r="N56" s="131">
        <f t="shared" si="27"/>
        <v>6693015.0041079307</v>
      </c>
      <c r="O56" s="131">
        <f t="shared" si="27"/>
        <v>109358244.80541429</v>
      </c>
    </row>
    <row r="57" spans="2:15" ht="9" customHeight="1" thickBot="1">
      <c r="B57" s="127"/>
      <c r="C57" s="127"/>
      <c r="D57" s="132"/>
      <c r="E57" s="117"/>
      <c r="F57" s="117"/>
      <c r="G57" s="117"/>
      <c r="H57" s="133"/>
      <c r="I57" s="117"/>
      <c r="J57" s="117"/>
      <c r="K57" s="117"/>
      <c r="L57" s="117"/>
      <c r="M57" s="117"/>
      <c r="N57" s="117"/>
      <c r="O57" s="117"/>
    </row>
    <row r="58" spans="2:15" ht="9" customHeight="1">
      <c r="B58" s="144" t="s">
        <v>199</v>
      </c>
      <c r="C58" s="145"/>
      <c r="D58" s="145"/>
      <c r="E58" s="156"/>
      <c r="F58" s="157"/>
      <c r="G58" s="157"/>
      <c r="H58" s="157"/>
      <c r="I58" s="157"/>
      <c r="J58" s="157"/>
      <c r="K58" s="146"/>
      <c r="L58" s="119"/>
      <c r="M58" s="119"/>
      <c r="N58" s="119"/>
      <c r="O58" s="119"/>
    </row>
    <row r="59" spans="2:15" ht="9" customHeight="1">
      <c r="B59" s="147" t="s">
        <v>89</v>
      </c>
      <c r="C59" s="142"/>
      <c r="D59" s="155">
        <v>3</v>
      </c>
      <c r="E59" s="140"/>
      <c r="F59" s="140"/>
      <c r="G59" s="141" t="s">
        <v>205</v>
      </c>
      <c r="H59" s="161">
        <f>Phase3begin</f>
        <v>5</v>
      </c>
      <c r="I59" s="140"/>
      <c r="J59" s="141" t="s">
        <v>202</v>
      </c>
      <c r="K59" s="158">
        <f>summary!AF89</f>
        <v>0</v>
      </c>
      <c r="L59" s="117"/>
      <c r="M59" s="117"/>
      <c r="N59" s="117"/>
      <c r="O59" s="117"/>
    </row>
    <row r="60" spans="2:15" ht="9" customHeight="1">
      <c r="B60" s="147" t="s">
        <v>94</v>
      </c>
      <c r="C60" s="142"/>
      <c r="D60" s="152" t="s">
        <v>223</v>
      </c>
      <c r="E60" s="140"/>
      <c r="F60" s="140"/>
      <c r="G60" s="141" t="s">
        <v>206</v>
      </c>
      <c r="H60" s="161">
        <f>Phase3end</f>
        <v>6</v>
      </c>
      <c r="I60" s="140"/>
      <c r="J60" s="140"/>
      <c r="K60" s="148"/>
      <c r="L60" s="117"/>
      <c r="M60" s="117"/>
      <c r="N60" s="117"/>
      <c r="O60" s="117"/>
    </row>
    <row r="61" spans="2:15" ht="9" customHeight="1" thickBot="1">
      <c r="B61" s="159"/>
      <c r="C61" s="160"/>
      <c r="D61" s="160"/>
      <c r="E61" s="160"/>
      <c r="F61" s="160"/>
      <c r="G61" s="150" t="s">
        <v>200</v>
      </c>
      <c r="H61" s="153">
        <f>Phase3open</f>
        <v>7</v>
      </c>
      <c r="I61" s="160"/>
      <c r="J61" s="160"/>
      <c r="K61" s="149"/>
      <c r="L61" s="117"/>
      <c r="M61" s="117"/>
      <c r="N61" s="117"/>
      <c r="O61" s="117"/>
    </row>
    <row r="62" spans="2:15" ht="9" customHeight="1">
      <c r="B62" s="117"/>
      <c r="C62" s="136"/>
      <c r="D62" s="120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</row>
    <row r="63" spans="2:15" ht="9" customHeight="1">
      <c r="B63" s="121" t="s">
        <v>183</v>
      </c>
      <c r="C63" s="121"/>
      <c r="D63" s="117"/>
      <c r="E63" s="122">
        <f>IF(OR(E$2=$H61,E$2&gt;$H61),INDEX(summary!$A$2:$D$24,MATCH($D60,summary!$A$2:$A$24,0),MATCH($D59,summary!$A$2:$D$2,0)),0)</f>
        <v>0</v>
      </c>
      <c r="F63" s="122">
        <f>IF(OR(F$2=$H61,F$2&gt;$H61),INDEX(summary!$A$2:$D$24,MATCH($D60,summary!$A$2:$A$24,0),MATCH($D59,summary!$A$2:$D$2,0)),0)</f>
        <v>0</v>
      </c>
      <c r="G63" s="122">
        <f>IF(OR(G$2=$H61,G$2&gt;$H61),INDEX(summary!$A$2:$D$24,MATCH($D60,summary!$A$2:$A$24,0),MATCH($D59,summary!$A$2:$D$2,0)),0)</f>
        <v>0</v>
      </c>
      <c r="H63" s="122">
        <f>IF(OR(H$2=$H61,H$2&gt;$H61),INDEX(summary!$A$2:$D$24,MATCH($D60,summary!$A$2:$A$24,0),MATCH($D59,summary!$A$2:$D$2,0)),0)</f>
        <v>0</v>
      </c>
      <c r="I63" s="122">
        <f>IF(OR(I$2=$H61,I$2&gt;$H61),INDEX(summary!$A$2:$D$24,MATCH($D60,summary!$A$2:$A$24,0),MATCH($D59,summary!$A$2:$D$2,0)),0)</f>
        <v>0</v>
      </c>
      <c r="J63" s="122">
        <f>IF(OR(J$2=$H61,J$2&gt;$H61),INDEX(summary!$A$2:$D$24,MATCH($D60,summary!$A$2:$A$24,0),MATCH($D59,summary!$A$2:$D$2,0)),0)</f>
        <v>0</v>
      </c>
      <c r="K63" s="122">
        <f>IF(OR(K$2=$H61,K$2&gt;$H61),INDEX(summary!$A$2:$D$24,MATCH($D60,summary!$A$2:$A$24,0),MATCH($D59,summary!$A$2:$D$2,0)),0)</f>
        <v>0</v>
      </c>
      <c r="L63" s="122">
        <f>IF(OR(L$2=$H61,L$2&gt;$H61),INDEX(summary!$A$2:$D$24,MATCH($D60,summary!$A$2:$A$24,0),MATCH($D59,summary!$A$2:$D$2,0)),0)</f>
        <v>0</v>
      </c>
      <c r="M63" s="122">
        <f>IF(OR(M$2=$H61,M$2&gt;$H61),INDEX(summary!$A$2:$D$24,MATCH($D60,summary!$A$2:$A$24,0),MATCH($D59,summary!$A$2:$D$2,0)),0)</f>
        <v>0</v>
      </c>
      <c r="N63" s="122">
        <f>IF(OR(N$2=$H61,N$2&gt;$H61),INDEX(summary!$A$2:$D$24,MATCH($D60,summary!$A$2:$A$24,0),MATCH($D59,summary!$A$2:$D$2,0)),0)</f>
        <v>0</v>
      </c>
      <c r="O63" s="122">
        <f>IF(OR(O$2=$H61,O$2&gt;$H61),INDEX(summary!$A$2:$D$24,MATCH($D60,summary!$A$2:$A$24,0),MATCH($D59,summary!$A$2:$D$2,0)),0)</f>
        <v>0</v>
      </c>
    </row>
    <row r="64" spans="2:15" ht="9" customHeight="1">
      <c r="B64" s="121" t="s">
        <v>195</v>
      </c>
      <c r="C64" s="137" t="s">
        <v>192</v>
      </c>
      <c r="D64" s="123">
        <f>INDEX(cockpit!$J$6:$X$16,MATCH($D60,cockpit!$J$6:$J$16,0),MATCH($C$10,cockpit!$J$6:$X$6,0))</f>
        <v>0.25</v>
      </c>
      <c r="E64" s="122">
        <f>E63*(1-$D64)</f>
        <v>0</v>
      </c>
      <c r="F64" s="122">
        <f t="shared" ref="F64:O64" si="28">F63*(1-$D64)</f>
        <v>0</v>
      </c>
      <c r="G64" s="122">
        <f t="shared" si="28"/>
        <v>0</v>
      </c>
      <c r="H64" s="122">
        <f t="shared" si="28"/>
        <v>0</v>
      </c>
      <c r="I64" s="122">
        <f t="shared" si="28"/>
        <v>0</v>
      </c>
      <c r="J64" s="122">
        <f t="shared" si="28"/>
        <v>0</v>
      </c>
      <c r="K64" s="122">
        <f t="shared" si="28"/>
        <v>0</v>
      </c>
      <c r="L64" s="122">
        <f t="shared" si="28"/>
        <v>0</v>
      </c>
      <c r="M64" s="122">
        <f t="shared" si="28"/>
        <v>0</v>
      </c>
      <c r="N64" s="122">
        <f t="shared" si="28"/>
        <v>0</v>
      </c>
      <c r="O64" s="122">
        <f t="shared" si="28"/>
        <v>0</v>
      </c>
    </row>
    <row r="65" spans="2:15" ht="9" customHeight="1">
      <c r="B65" s="121" t="s">
        <v>181</v>
      </c>
      <c r="C65" s="137" t="s">
        <v>153</v>
      </c>
      <c r="D65" s="138">
        <f>Hotelrampup</f>
        <v>0.65</v>
      </c>
      <c r="E65" s="122">
        <f>IF(OR(E$2=$H61,AND(E$2&gt;$H61,E$2&lt;(SUM($H61,INDEX(cockpit!$J$6:$X$16,MATCH($D60,cockpit!$J$6:$J$16,0),MATCH($C$11,cockpit!$J$6:$X$6,0)))))),E64*$D65,0)</f>
        <v>0</v>
      </c>
      <c r="F65" s="122">
        <f>IF(OR(F$2=$H61,AND(F$2&gt;$H61,F$2&lt;(SUM($H61,INDEX(cockpit!$J$6:$X$16,MATCH($D60,cockpit!$J$6:$J$16,0),MATCH($C$11,cockpit!$J$6:$X$6,0)))))),F64*$D65,0)</f>
        <v>0</v>
      </c>
      <c r="G65" s="122">
        <f>IF(OR(G$2=$H61,AND(G$2&gt;$H61,G$2&lt;(SUM($H61,INDEX(cockpit!$J$6:$X$16,MATCH($D60,cockpit!$J$6:$J$16,0),MATCH($C$11,cockpit!$J$6:$X$6,0)))))),G64*$D65,0)</f>
        <v>0</v>
      </c>
      <c r="H65" s="122">
        <f>IF(OR(H$2=$H61,AND(H$2&gt;$H61,H$2&lt;(SUM($H61,INDEX(cockpit!$J$6:$X$16,MATCH($D60,cockpit!$J$6:$J$16,0),MATCH($C$11,cockpit!$J$6:$X$6,0)))))),H64*$D65,0)</f>
        <v>0</v>
      </c>
      <c r="I65" s="122">
        <f>IF(OR(I$2=$H61,AND(I$2&gt;$H61,I$2&lt;(SUM($H61,INDEX(cockpit!$J$6:$X$16,MATCH($D60,cockpit!$J$6:$J$16,0),MATCH($C$11,cockpit!$J$6:$X$6,0)))))),I64*$D65,0)</f>
        <v>0</v>
      </c>
      <c r="J65" s="122">
        <f>IF(OR(J$2=$H61,AND(J$2&gt;$H61,J$2&lt;(SUM($H61,INDEX(cockpit!$J$6:$X$16,MATCH($D60,cockpit!$J$6:$J$16,0),MATCH($C$11,cockpit!$J$6:$X$6,0)))))),J64*$D65,0)</f>
        <v>0</v>
      </c>
      <c r="K65" s="122">
        <f>IF(OR(K$2=$H61,AND(K$2&gt;$H61,K$2&lt;(SUM($H61,INDEX(cockpit!$J$6:$X$16,MATCH($D60,cockpit!$J$6:$J$16,0),MATCH($C$11,cockpit!$J$6:$X$6,0)))))),K64*$D65,0)</f>
        <v>0</v>
      </c>
      <c r="L65" s="122">
        <f>IF(OR(L$2=$H61,AND(L$2&gt;$H61,L$2&lt;(SUM($H61,INDEX(cockpit!$J$6:$X$16,MATCH($D60,cockpit!$J$6:$J$16,0),MATCH($C$11,cockpit!$J$6:$X$6,0)))))),L64*$D65,0)</f>
        <v>0</v>
      </c>
      <c r="M65" s="122">
        <f>IF(OR(M$2=$H61,AND(M$2&gt;$H61,M$2&lt;(SUM($H61,INDEX(cockpit!$J$6:$X$16,MATCH($D60,cockpit!$J$6:$J$16,0),MATCH($C$11,cockpit!$J$6:$X$6,0)))))),M64*$D65,0)</f>
        <v>0</v>
      </c>
      <c r="N65" s="122">
        <f>IF(OR(N$2=$H61,AND(N$2&gt;$H61,N$2&lt;(SUM($H61,INDEX(cockpit!$J$6:$X$16,MATCH($D60,cockpit!$J$6:$J$16,0),MATCH($C$11,cockpit!$J$6:$X$6,0)))))),N64*$D65,0)</f>
        <v>0</v>
      </c>
      <c r="O65" s="122">
        <f>IF(OR(O$2=$H61,AND(O$2&gt;$H61,O$2&lt;(SUM($H61,INDEX(cockpit!$J$6:$X$16,MATCH($D60,cockpit!$J$6:$J$16,0),MATCH($C$11,cockpit!$J$6:$X$6,0)))))),O64*$D65,0)</f>
        <v>0</v>
      </c>
    </row>
    <row r="66" spans="2:15" ht="9" customHeight="1">
      <c r="B66" s="121" t="s">
        <v>182</v>
      </c>
      <c r="C66" s="139"/>
      <c r="D66" s="117"/>
      <c r="E66" s="122">
        <f>SUM($E65:E65)</f>
        <v>0</v>
      </c>
      <c r="F66" s="122">
        <f>SUM($E65:F65)</f>
        <v>0</v>
      </c>
      <c r="G66" s="122">
        <f>SUM($E65:G65)</f>
        <v>0</v>
      </c>
      <c r="H66" s="122">
        <f>SUM($E65:H65)</f>
        <v>0</v>
      </c>
      <c r="I66" s="122">
        <f>SUM($E65:I65)</f>
        <v>0</v>
      </c>
      <c r="J66" s="122">
        <f>SUM($E65:J65)</f>
        <v>0</v>
      </c>
      <c r="K66" s="122">
        <f>SUM($E65:K65)</f>
        <v>0</v>
      </c>
      <c r="L66" s="122">
        <f>SUM($E65:L65)</f>
        <v>0</v>
      </c>
      <c r="M66" s="122">
        <f>SUM($E65:M65)</f>
        <v>0</v>
      </c>
      <c r="N66" s="122">
        <f>SUM($E65:N65)</f>
        <v>0</v>
      </c>
      <c r="O66" s="122">
        <f>SUM($E65:O65)</f>
        <v>0</v>
      </c>
    </row>
    <row r="67" spans="2:15" ht="9" customHeight="1">
      <c r="B67" s="121" t="s">
        <v>233</v>
      </c>
      <c r="C67" s="139"/>
      <c r="D67" s="117"/>
      <c r="E67" s="122">
        <f t="shared" ref="E67:O67" si="29">E66/Hotelaverageroomsize</f>
        <v>0</v>
      </c>
      <c r="F67" s="122">
        <f t="shared" si="29"/>
        <v>0</v>
      </c>
      <c r="G67" s="122">
        <f t="shared" si="29"/>
        <v>0</v>
      </c>
      <c r="H67" s="122">
        <f t="shared" si="29"/>
        <v>0</v>
      </c>
      <c r="I67" s="122">
        <f t="shared" si="29"/>
        <v>0</v>
      </c>
      <c r="J67" s="122">
        <f t="shared" si="29"/>
        <v>0</v>
      </c>
      <c r="K67" s="122">
        <f t="shared" si="29"/>
        <v>0</v>
      </c>
      <c r="L67" s="122">
        <f t="shared" si="29"/>
        <v>0</v>
      </c>
      <c r="M67" s="122">
        <f t="shared" si="29"/>
        <v>0</v>
      </c>
      <c r="N67" s="122">
        <f t="shared" si="29"/>
        <v>0</v>
      </c>
      <c r="O67" s="122">
        <f t="shared" si="29"/>
        <v>0</v>
      </c>
    </row>
    <row r="68" spans="2:15" ht="9" customHeight="1">
      <c r="B68" s="117"/>
      <c r="C68" s="139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  <row r="69" spans="2:15" ht="9" customHeight="1">
      <c r="B69" s="121" t="s">
        <v>236</v>
      </c>
      <c r="C69" s="139"/>
      <c r="D69" s="124">
        <f>(hoteladr*(1-$K59))+((hoteladr*(1+premiumprices)*$K59))</f>
        <v>150</v>
      </c>
      <c r="E69" s="125">
        <f t="shared" ref="E69:O69" si="30">(E67*(($D69)*((1+Inflation)^(E$2-1))))*365</f>
        <v>0</v>
      </c>
      <c r="F69" s="125">
        <f t="shared" si="30"/>
        <v>0</v>
      </c>
      <c r="G69" s="125">
        <f t="shared" si="30"/>
        <v>0</v>
      </c>
      <c r="H69" s="125">
        <f t="shared" si="30"/>
        <v>0</v>
      </c>
      <c r="I69" s="125">
        <f t="shared" si="30"/>
        <v>0</v>
      </c>
      <c r="J69" s="125">
        <f t="shared" si="30"/>
        <v>0</v>
      </c>
      <c r="K69" s="125">
        <f t="shared" si="30"/>
        <v>0</v>
      </c>
      <c r="L69" s="125">
        <f t="shared" si="30"/>
        <v>0</v>
      </c>
      <c r="M69" s="125">
        <f t="shared" si="30"/>
        <v>0</v>
      </c>
      <c r="N69" s="125">
        <f t="shared" si="30"/>
        <v>0</v>
      </c>
      <c r="O69" s="125">
        <f t="shared" si="30"/>
        <v>0</v>
      </c>
    </row>
    <row r="70" spans="2:15" ht="9" customHeight="1">
      <c r="B70" s="121" t="s">
        <v>124</v>
      </c>
      <c r="C70" s="139"/>
      <c r="D70" s="123">
        <f>INDEX(cockpit!$J$6:$X$16,MATCH($D60,cockpit!$J$6:$J$16,0),MATCH($B70,cockpit!$J$6:$X$6,0))</f>
        <v>0.2</v>
      </c>
      <c r="E70" s="129">
        <f t="shared" ref="E70:O70" si="31">-IF($D70&gt;1,E63*($D70*((1+Inflation)^(E$2-1))),E69*(1-$D70))</f>
        <v>0</v>
      </c>
      <c r="F70" s="129">
        <f t="shared" si="31"/>
        <v>0</v>
      </c>
      <c r="G70" s="129">
        <f t="shared" si="31"/>
        <v>0</v>
      </c>
      <c r="H70" s="129">
        <f t="shared" si="31"/>
        <v>0</v>
      </c>
      <c r="I70" s="129">
        <f t="shared" si="31"/>
        <v>0</v>
      </c>
      <c r="J70" s="129">
        <f t="shared" si="31"/>
        <v>0</v>
      </c>
      <c r="K70" s="129">
        <f t="shared" si="31"/>
        <v>0</v>
      </c>
      <c r="L70" s="129">
        <f t="shared" si="31"/>
        <v>0</v>
      </c>
      <c r="M70" s="129">
        <f t="shared" si="31"/>
        <v>0</v>
      </c>
      <c r="N70" s="129">
        <f t="shared" si="31"/>
        <v>0</v>
      </c>
      <c r="O70" s="129">
        <f t="shared" si="31"/>
        <v>0</v>
      </c>
    </row>
    <row r="71" spans="2:15" ht="9" customHeight="1">
      <c r="B71" s="134" t="s">
        <v>234</v>
      </c>
      <c r="C71" s="139"/>
      <c r="D71" s="123">
        <f>hotelfoodandbeverageincome</f>
        <v>0.3</v>
      </c>
      <c r="E71" s="129">
        <f t="shared" ref="E71:O71" si="32">E69*$D71*hotelfoodandbeveragemargin</f>
        <v>0</v>
      </c>
      <c r="F71" s="129">
        <f t="shared" si="32"/>
        <v>0</v>
      </c>
      <c r="G71" s="129">
        <f t="shared" si="32"/>
        <v>0</v>
      </c>
      <c r="H71" s="129">
        <f t="shared" si="32"/>
        <v>0</v>
      </c>
      <c r="I71" s="129">
        <f t="shared" si="32"/>
        <v>0</v>
      </c>
      <c r="J71" s="129">
        <f t="shared" si="32"/>
        <v>0</v>
      </c>
      <c r="K71" s="129">
        <f t="shared" si="32"/>
        <v>0</v>
      </c>
      <c r="L71" s="129">
        <f t="shared" si="32"/>
        <v>0</v>
      </c>
      <c r="M71" s="129">
        <f t="shared" si="32"/>
        <v>0</v>
      </c>
      <c r="N71" s="129">
        <f t="shared" si="32"/>
        <v>0</v>
      </c>
      <c r="O71" s="129">
        <f t="shared" si="32"/>
        <v>0</v>
      </c>
    </row>
    <row r="72" spans="2:15" ht="9" customHeight="1">
      <c r="B72" s="134" t="s">
        <v>235</v>
      </c>
      <c r="C72" s="139"/>
      <c r="D72" s="123">
        <f>hotelotherincome</f>
        <v>0.1</v>
      </c>
      <c r="E72" s="126">
        <f t="shared" ref="E72:O72" si="33">E69*$D72*hotelotherincomemargin</f>
        <v>0</v>
      </c>
      <c r="F72" s="126">
        <f t="shared" si="33"/>
        <v>0</v>
      </c>
      <c r="G72" s="126">
        <f t="shared" si="33"/>
        <v>0</v>
      </c>
      <c r="H72" s="126">
        <f t="shared" si="33"/>
        <v>0</v>
      </c>
      <c r="I72" s="126">
        <f t="shared" si="33"/>
        <v>0</v>
      </c>
      <c r="J72" s="126">
        <f t="shared" si="33"/>
        <v>0</v>
      </c>
      <c r="K72" s="126">
        <f t="shared" si="33"/>
        <v>0</v>
      </c>
      <c r="L72" s="126">
        <f t="shared" si="33"/>
        <v>0</v>
      </c>
      <c r="M72" s="126">
        <f t="shared" si="33"/>
        <v>0</v>
      </c>
      <c r="N72" s="126">
        <f t="shared" si="33"/>
        <v>0</v>
      </c>
      <c r="O72" s="126">
        <f t="shared" si="33"/>
        <v>0</v>
      </c>
    </row>
    <row r="73" spans="2:15" ht="9" customHeight="1">
      <c r="B73" s="127" t="s">
        <v>168</v>
      </c>
      <c r="C73" s="139"/>
      <c r="D73" s="117"/>
      <c r="E73" s="125">
        <f t="shared" ref="E73:O73" si="34">SUM(E69:E72)</f>
        <v>0</v>
      </c>
      <c r="F73" s="125">
        <f t="shared" si="34"/>
        <v>0</v>
      </c>
      <c r="G73" s="125">
        <f t="shared" si="34"/>
        <v>0</v>
      </c>
      <c r="H73" s="125">
        <f t="shared" si="34"/>
        <v>0</v>
      </c>
      <c r="I73" s="125">
        <f t="shared" si="34"/>
        <v>0</v>
      </c>
      <c r="J73" s="125">
        <f t="shared" si="34"/>
        <v>0</v>
      </c>
      <c r="K73" s="125">
        <f t="shared" si="34"/>
        <v>0</v>
      </c>
      <c r="L73" s="125">
        <f t="shared" si="34"/>
        <v>0</v>
      </c>
      <c r="M73" s="125">
        <f t="shared" si="34"/>
        <v>0</v>
      </c>
      <c r="N73" s="125">
        <f t="shared" si="34"/>
        <v>0</v>
      </c>
      <c r="O73" s="125">
        <f t="shared" si="34"/>
        <v>0</v>
      </c>
    </row>
    <row r="74" spans="2:15" ht="9" customHeight="1">
      <c r="B74" s="117"/>
      <c r="C74" s="139"/>
      <c r="D74" s="117"/>
      <c r="E74" s="217">
        <f t="shared" ref="E74:O74" si="35">IFERROR(E73/SUM(E69:E69),0)</f>
        <v>0</v>
      </c>
      <c r="F74" s="217">
        <f t="shared" si="35"/>
        <v>0</v>
      </c>
      <c r="G74" s="217">
        <f t="shared" si="35"/>
        <v>0</v>
      </c>
      <c r="H74" s="217">
        <f t="shared" si="35"/>
        <v>0</v>
      </c>
      <c r="I74" s="217">
        <f t="shared" si="35"/>
        <v>0</v>
      </c>
      <c r="J74" s="217">
        <f t="shared" si="35"/>
        <v>0</v>
      </c>
      <c r="K74" s="217">
        <f t="shared" si="35"/>
        <v>0</v>
      </c>
      <c r="L74" s="217">
        <f t="shared" si="35"/>
        <v>0</v>
      </c>
      <c r="M74" s="217">
        <f t="shared" si="35"/>
        <v>0</v>
      </c>
      <c r="N74" s="217">
        <f t="shared" si="35"/>
        <v>0</v>
      </c>
      <c r="O74" s="217">
        <f t="shared" si="35"/>
        <v>0</v>
      </c>
    </row>
    <row r="75" spans="2:15" ht="9" customHeight="1">
      <c r="B75" s="121" t="s">
        <v>169</v>
      </c>
      <c r="C75" s="139"/>
      <c r="D75" s="128">
        <f>INDEX(cockpit!$J$6:$X$16,MATCH($D60,cockpit!$J$6:$J$16,0),MATCH($B75,cockpit!$J$6:$X$6,0))</f>
        <v>0.05</v>
      </c>
      <c r="E75" s="125">
        <f t="shared" ref="E75:O75" si="36">-E64*$D75</f>
        <v>0</v>
      </c>
      <c r="F75" s="125">
        <f t="shared" si="36"/>
        <v>0</v>
      </c>
      <c r="G75" s="125">
        <f t="shared" si="36"/>
        <v>0</v>
      </c>
      <c r="H75" s="125">
        <f t="shared" si="36"/>
        <v>0</v>
      </c>
      <c r="I75" s="125">
        <f t="shared" si="36"/>
        <v>0</v>
      </c>
      <c r="J75" s="125">
        <f t="shared" si="36"/>
        <v>0</v>
      </c>
      <c r="K75" s="125">
        <f t="shared" si="36"/>
        <v>0</v>
      </c>
      <c r="L75" s="125">
        <f t="shared" si="36"/>
        <v>0</v>
      </c>
      <c r="M75" s="125">
        <f t="shared" si="36"/>
        <v>0</v>
      </c>
      <c r="N75" s="125">
        <f t="shared" si="36"/>
        <v>0</v>
      </c>
      <c r="O75" s="125">
        <f t="shared" si="36"/>
        <v>0</v>
      </c>
    </row>
    <row r="76" spans="2:15" ht="9" customHeight="1">
      <c r="B76" s="121" t="s">
        <v>163</v>
      </c>
      <c r="C76" s="139"/>
      <c r="D76" s="128">
        <f>INDEX(cockpit!$J$6:$X$16,MATCH($D60,cockpit!$J$6:$J$16,0),MATCH($B76,cockpit!$J$6:$X$6,0))</f>
        <v>0</v>
      </c>
      <c r="E76" s="126">
        <f t="shared" ref="E76:O76" si="37">-E66*$D76</f>
        <v>0</v>
      </c>
      <c r="F76" s="126">
        <f t="shared" si="37"/>
        <v>0</v>
      </c>
      <c r="G76" s="126">
        <f t="shared" si="37"/>
        <v>0</v>
      </c>
      <c r="H76" s="126">
        <f t="shared" si="37"/>
        <v>0</v>
      </c>
      <c r="I76" s="126">
        <f t="shared" si="37"/>
        <v>0</v>
      </c>
      <c r="J76" s="126">
        <f t="shared" si="37"/>
        <v>0</v>
      </c>
      <c r="K76" s="126">
        <f t="shared" si="37"/>
        <v>0</v>
      </c>
      <c r="L76" s="126">
        <f t="shared" si="37"/>
        <v>0</v>
      </c>
      <c r="M76" s="126">
        <f t="shared" si="37"/>
        <v>0</v>
      </c>
      <c r="N76" s="126">
        <f t="shared" si="37"/>
        <v>0</v>
      </c>
      <c r="O76" s="126">
        <f t="shared" si="37"/>
        <v>0</v>
      </c>
    </row>
    <row r="77" spans="2:15" ht="9" customHeight="1">
      <c r="B77" s="127" t="s">
        <v>196</v>
      </c>
      <c r="C77" s="139"/>
      <c r="D77" s="128"/>
      <c r="E77" s="129">
        <f>SUM(E75:E76)</f>
        <v>0</v>
      </c>
      <c r="F77" s="129">
        <f t="shared" ref="F77:O77" si="38">SUM(F75:F76)</f>
        <v>0</v>
      </c>
      <c r="G77" s="129">
        <f t="shared" si="38"/>
        <v>0</v>
      </c>
      <c r="H77" s="129">
        <f t="shared" si="38"/>
        <v>0</v>
      </c>
      <c r="I77" s="129">
        <f t="shared" si="38"/>
        <v>0</v>
      </c>
      <c r="J77" s="129">
        <f t="shared" si="38"/>
        <v>0</v>
      </c>
      <c r="K77" s="129">
        <f t="shared" si="38"/>
        <v>0</v>
      </c>
      <c r="L77" s="129">
        <f t="shared" si="38"/>
        <v>0</v>
      </c>
      <c r="M77" s="129">
        <f t="shared" si="38"/>
        <v>0</v>
      </c>
      <c r="N77" s="129">
        <f t="shared" si="38"/>
        <v>0</v>
      </c>
      <c r="O77" s="129">
        <f t="shared" si="38"/>
        <v>0</v>
      </c>
    </row>
    <row r="78" spans="2:15" ht="9" customHeight="1">
      <c r="B78" s="121"/>
      <c r="C78" s="139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</row>
    <row r="79" spans="2:15" ht="9" customHeight="1">
      <c r="B79" s="121" t="s">
        <v>171</v>
      </c>
      <c r="C79" s="139"/>
      <c r="D79" s="124">
        <f>(hotelconstructioncostPSF*(1-$K59))+((hotelconstructioncostPSF*(1+premiumprices)*$K59))</f>
        <v>225</v>
      </c>
      <c r="E79" s="125">
        <f>-IF(OR(E$2=$H59,E$2=$H60,AND(E$2&gt;$H59,E$2&lt;$H60)),(INDEX(summary!$A$2:$D$24,MATCH($D60,summary!$A$2:$A$24,0),MATCH($D59,summary!$A$2:$D$2,0)))/Constructiontime)*($D79*((1+Inflation)^(E$2-1)))*(1+Developerfee)</f>
        <v>0</v>
      </c>
      <c r="F79" s="125">
        <f>-IF(OR(F$2=$H59,F$2=$H60,AND(F$2&gt;$H59,F$2&lt;$H60)),(INDEX(summary!$A$2:$D$24,MATCH($D60,summary!$A$2:$A$24,0),MATCH($D59,summary!$A$2:$D$2,0)))/Constructiontime)*($D79*((1+Inflation)^(F$2-1)))*(1+Developerfee)</f>
        <v>0</v>
      </c>
      <c r="G79" s="125">
        <f>-IF(OR(G$2=$H59,G$2=$H60,AND(G$2&gt;$H59,G$2&lt;$H60)),(INDEX(summary!$A$2:$D$24,MATCH($D60,summary!$A$2:$A$24,0),MATCH($D59,summary!$A$2:$D$2,0)))/Constructiontime)*($D79*((1+Inflation)^(G$2-1)))*(1+Developerfee)</f>
        <v>0</v>
      </c>
      <c r="H79" s="125">
        <f>-IF(OR(H$2=$H59,H$2=$H60,AND(H$2&gt;$H59,H$2&lt;$H60)),(INDEX(summary!$A$2:$D$24,MATCH($D60,summary!$A$2:$A$24,0),MATCH($D59,summary!$A$2:$D$2,0)))/Constructiontime)*($D79*((1+Inflation)^(H$2-1)))*(1+Developerfee)</f>
        <v>0</v>
      </c>
      <c r="I79" s="125">
        <f>-IF(OR(I$2=$H59,I$2=$H60,AND(I$2&gt;$H59,I$2&lt;$H60)),(INDEX(summary!$A$2:$D$24,MATCH($D60,summary!$A$2:$A$24,0),MATCH($D59,summary!$A$2:$D$2,0)))/Constructiontime)*($D79*((1+Inflation)^(I$2-1)))*(1+Developerfee)</f>
        <v>0</v>
      </c>
      <c r="J79" s="125">
        <f>-IF(OR(J$2=$H59,J$2=$H60,AND(J$2&gt;$H59,J$2&lt;$H60)),(INDEX(summary!$A$2:$D$24,MATCH($D60,summary!$A$2:$A$24,0),MATCH($D59,summary!$A$2:$D$2,0)))/Constructiontime)*($D79*((1+Inflation)^(J$2-1)))*(1+Developerfee)</f>
        <v>0</v>
      </c>
      <c r="K79" s="125">
        <f>-IF(OR(K$2=$H59,K$2=$H60,AND(K$2&gt;$H59,K$2&lt;$H60)),(INDEX(summary!$A$2:$D$24,MATCH($D60,summary!$A$2:$A$24,0),MATCH($D59,summary!$A$2:$D$2,0)))/Constructiontime)*($D79*((1+Inflation)^(K$2-1)))*(1+Developerfee)</f>
        <v>0</v>
      </c>
      <c r="L79" s="125">
        <f>-IF(OR(L$2=$H59,L$2=$H60,AND(L$2&gt;$H59,L$2&lt;$H60)),(INDEX(summary!$A$2:$D$24,MATCH($D60,summary!$A$2:$A$24,0),MATCH($D59,summary!$A$2:$D$2,0)))/Constructiontime)*($D79*((1+Inflation)^(L$2-1)))*(1+Developerfee)</f>
        <v>0</v>
      </c>
      <c r="M79" s="125">
        <f>-IF(OR(M$2=$H59,M$2=$H60,AND(M$2&gt;$H59,M$2&lt;$H60)),(INDEX(summary!$A$2:$D$24,MATCH($D60,summary!$A$2:$A$24,0),MATCH($D59,summary!$A$2:$D$2,0)))/Constructiontime)*($D79*((1+Inflation)^(M$2-1)))*(1+Developerfee)</f>
        <v>0</v>
      </c>
      <c r="N79" s="125">
        <f>-IF(OR(N$2=$H59,N$2=$H60,AND(N$2&gt;$H59,N$2&lt;$H60)),(INDEX(summary!$A$2:$D$24,MATCH($D60,summary!$A$2:$A$24,0),MATCH($D59,summary!$A$2:$D$2,0)))/Constructiontime)*($D79*((1+Inflation)^(N$2-1)))*(1+Developerfee)</f>
        <v>0</v>
      </c>
      <c r="O79" s="125">
        <f>-IF(OR(O$2=$H59,O$2=$H60,AND(O$2&gt;$H59,O$2&lt;$H60)),(INDEX(summary!$A$2:$D$24,MATCH($D60,summary!$A$2:$A$24,0),MATCH($D59,summary!$A$2:$D$2,0)))/Constructiontime)*($D79*((1+Inflation)^(O$2-1)))*(1+Developerfee)</f>
        <v>0</v>
      </c>
    </row>
    <row r="80" spans="2:15" ht="9" customHeight="1">
      <c r="B80" s="121" t="s">
        <v>198</v>
      </c>
      <c r="C80" s="139" t="s">
        <v>190</v>
      </c>
      <c r="D80" s="138">
        <f>(INDEX(cockpit!$J$6:$X$16,MATCH($D60,cockpit!$J$6:$J$16,0),MATCH($C80,cockpit!$J$6:$X$6,0))*(1-$K59))+((INDEX(cockpit!$J$6:$X$16,MATCH($D60,cockpit!$J$6:$J$16,0),MATCH($C80,cockpit!$J$6:$X$6,0))-(Premiumexitcaprate))*$K59)</f>
        <v>7.0000000000000007E-2</v>
      </c>
      <c r="E80" s="126">
        <f t="shared" ref="E80:O80" si="39">IF(E$2=dispositionyear,E73/$D80,0)*(1-Closingcosts)</f>
        <v>0</v>
      </c>
      <c r="F80" s="126">
        <f t="shared" si="39"/>
        <v>0</v>
      </c>
      <c r="G80" s="126">
        <f t="shared" si="39"/>
        <v>0</v>
      </c>
      <c r="H80" s="126">
        <f t="shared" si="39"/>
        <v>0</v>
      </c>
      <c r="I80" s="126">
        <f t="shared" si="39"/>
        <v>0</v>
      </c>
      <c r="J80" s="126">
        <f t="shared" si="39"/>
        <v>0</v>
      </c>
      <c r="K80" s="126">
        <f t="shared" si="39"/>
        <v>0</v>
      </c>
      <c r="L80" s="126">
        <f t="shared" si="39"/>
        <v>0</v>
      </c>
      <c r="M80" s="126">
        <f t="shared" si="39"/>
        <v>0</v>
      </c>
      <c r="N80" s="126">
        <f t="shared" si="39"/>
        <v>0</v>
      </c>
      <c r="O80" s="126">
        <f t="shared" si="39"/>
        <v>0</v>
      </c>
    </row>
    <row r="81" spans="2:15" ht="9" customHeight="1">
      <c r="B81" s="127" t="s">
        <v>197</v>
      </c>
      <c r="C81" s="139"/>
      <c r="D81" s="123"/>
      <c r="E81" s="129">
        <f>SUM(E79:E80)</f>
        <v>0</v>
      </c>
      <c r="F81" s="129">
        <f t="shared" ref="F81:O81" si="40">SUM(F79:F80)</f>
        <v>0</v>
      </c>
      <c r="G81" s="129">
        <f t="shared" si="40"/>
        <v>0</v>
      </c>
      <c r="H81" s="129">
        <f t="shared" si="40"/>
        <v>0</v>
      </c>
      <c r="I81" s="129">
        <f t="shared" si="40"/>
        <v>0</v>
      </c>
      <c r="J81" s="129">
        <f t="shared" si="40"/>
        <v>0</v>
      </c>
      <c r="K81" s="129">
        <f t="shared" si="40"/>
        <v>0</v>
      </c>
      <c r="L81" s="129">
        <f t="shared" si="40"/>
        <v>0</v>
      </c>
      <c r="M81" s="129">
        <f t="shared" si="40"/>
        <v>0</v>
      </c>
      <c r="N81" s="129">
        <f t="shared" si="40"/>
        <v>0</v>
      </c>
      <c r="O81" s="129">
        <f t="shared" si="40"/>
        <v>0</v>
      </c>
    </row>
    <row r="82" spans="2:15" ht="9" customHeight="1">
      <c r="B82" s="121"/>
      <c r="C82" s="139"/>
      <c r="D82" s="123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</row>
    <row r="83" spans="2:15" ht="9" customHeight="1">
      <c r="B83" s="127" t="s">
        <v>170</v>
      </c>
      <c r="C83" s="127"/>
      <c r="D83" s="130" t="e">
        <f ca="1">IRR(OFFSET(E83,0,0,1,Investmenthorizon+1))</f>
        <v>#NUM!</v>
      </c>
      <c r="E83" s="131">
        <f>SUM(E73,E77,E81)</f>
        <v>0</v>
      </c>
      <c r="F83" s="131">
        <f t="shared" ref="F83:O83" si="41">SUM(F73,F77,F81)</f>
        <v>0</v>
      </c>
      <c r="G83" s="131">
        <f t="shared" si="41"/>
        <v>0</v>
      </c>
      <c r="H83" s="131">
        <f t="shared" si="41"/>
        <v>0</v>
      </c>
      <c r="I83" s="131">
        <f t="shared" si="41"/>
        <v>0</v>
      </c>
      <c r="J83" s="131">
        <f t="shared" si="41"/>
        <v>0</v>
      </c>
      <c r="K83" s="131">
        <f t="shared" si="41"/>
        <v>0</v>
      </c>
      <c r="L83" s="131">
        <f t="shared" si="41"/>
        <v>0</v>
      </c>
      <c r="M83" s="131">
        <f t="shared" si="41"/>
        <v>0</v>
      </c>
      <c r="N83" s="131">
        <f t="shared" si="41"/>
        <v>0</v>
      </c>
      <c r="O83" s="131">
        <f t="shared" si="41"/>
        <v>0</v>
      </c>
    </row>
    <row r="84" spans="2:15" ht="9" customHeight="1">
      <c r="B84" s="127"/>
      <c r="C84" s="127"/>
      <c r="D84" s="132"/>
      <c r="E84" s="117"/>
      <c r="F84" s="117"/>
      <c r="G84" s="117"/>
      <c r="H84" s="133"/>
      <c r="I84" s="117"/>
      <c r="J84" s="117"/>
      <c r="K84" s="117"/>
      <c r="L84" s="117"/>
      <c r="M84" s="117"/>
      <c r="N84" s="117"/>
      <c r="O84" s="117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2A26F-ACC1-4803-A9DA-BED57EB3C8F2}">
  <sheetPr>
    <tabColor theme="9" tint="0.59999389629810485"/>
  </sheetPr>
  <dimension ref="B2:Q75"/>
  <sheetViews>
    <sheetView showGridLines="0" topLeftCell="A11" zoomScale="70" zoomScaleNormal="70" workbookViewId="0">
      <selection activeCell="G15" sqref="G15"/>
    </sheetView>
    <sheetView topLeftCell="A28" zoomScale="80" zoomScaleNormal="80" workbookViewId="1">
      <selection activeCell="M12" sqref="M12"/>
    </sheetView>
  </sheetViews>
  <sheetFormatPr defaultRowHeight="9" customHeight="1"/>
  <cols>
    <col min="2" max="2" width="24.15625" bestFit="1" customWidth="1"/>
    <col min="3" max="3" width="1.15625" customWidth="1"/>
    <col min="5" max="5" width="9" bestFit="1" customWidth="1"/>
    <col min="6" max="7" width="11.47265625" bestFit="1" customWidth="1"/>
    <col min="8" max="8" width="10.3671875" bestFit="1" customWidth="1"/>
    <col min="9" max="9" width="10.26171875" customWidth="1"/>
    <col min="10" max="14" width="11.1015625" bestFit="1" customWidth="1"/>
    <col min="15" max="15" width="11.734375" bestFit="1" customWidth="1"/>
    <col min="16" max="16" width="14.89453125" bestFit="1" customWidth="1"/>
    <col min="17" max="17" width="13.89453125" bestFit="1" customWidth="1"/>
  </cols>
  <sheetData>
    <row r="2" spans="2:17" ht="9" customHeight="1" thickBot="1">
      <c r="B2" s="150" t="s">
        <v>176</v>
      </c>
      <c r="C2" s="150"/>
      <c r="D2" s="151"/>
      <c r="E2" s="151">
        <v>0</v>
      </c>
      <c r="F2" s="151">
        <v>1</v>
      </c>
      <c r="G2" s="151">
        <v>2</v>
      </c>
      <c r="H2" s="151">
        <v>3</v>
      </c>
      <c r="I2" s="151">
        <v>4</v>
      </c>
      <c r="J2" s="151">
        <v>5</v>
      </c>
      <c r="K2" s="151">
        <v>6</v>
      </c>
      <c r="L2" s="151">
        <v>7</v>
      </c>
      <c r="M2" s="151">
        <v>8</v>
      </c>
      <c r="N2" s="151">
        <v>9</v>
      </c>
      <c r="O2" s="151">
        <v>10</v>
      </c>
    </row>
    <row r="3" spans="2:17" ht="9" customHeight="1" thickBot="1"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7" ht="9" customHeight="1">
      <c r="B4" s="144" t="s">
        <v>199</v>
      </c>
      <c r="C4" s="145"/>
      <c r="D4" s="145"/>
      <c r="E4" s="156"/>
      <c r="F4" s="157"/>
      <c r="G4" s="157"/>
      <c r="H4" s="157"/>
      <c r="I4" s="157"/>
      <c r="J4" s="157"/>
      <c r="K4" s="146"/>
      <c r="L4" s="119"/>
      <c r="M4" s="119"/>
      <c r="N4" s="119"/>
      <c r="O4" s="119"/>
    </row>
    <row r="5" spans="2:17" ht="9" customHeight="1">
      <c r="B5" s="147" t="s">
        <v>89</v>
      </c>
      <c r="C5" s="142"/>
      <c r="D5" s="155">
        <f>Phase1</f>
        <v>1</v>
      </c>
      <c r="E5" s="140"/>
      <c r="F5" s="140"/>
      <c r="G5" s="141" t="s">
        <v>205</v>
      </c>
      <c r="H5" s="161">
        <f>Phase1begin</f>
        <v>1</v>
      </c>
      <c r="I5" s="140"/>
      <c r="J5" s="141" t="s">
        <v>202</v>
      </c>
      <c r="K5" s="158">
        <f>summary!AF20</f>
        <v>0</v>
      </c>
      <c r="L5" s="117"/>
      <c r="M5" s="117"/>
      <c r="N5" s="117"/>
      <c r="O5" s="117"/>
    </row>
    <row r="6" spans="2:17" ht="9" customHeight="1">
      <c r="B6" s="147" t="s">
        <v>94</v>
      </c>
      <c r="C6" s="142"/>
      <c r="D6" s="152" t="s">
        <v>287</v>
      </c>
      <c r="E6" s="140"/>
      <c r="F6" s="140"/>
      <c r="G6" s="141" t="s">
        <v>206</v>
      </c>
      <c r="H6" s="161">
        <f>Phase1end</f>
        <v>2</v>
      </c>
      <c r="I6" s="140"/>
      <c r="J6" s="140"/>
      <c r="K6" s="148"/>
      <c r="L6" s="117"/>
      <c r="M6" s="117"/>
      <c r="N6" s="117"/>
      <c r="O6" s="117"/>
    </row>
    <row r="7" spans="2:17" ht="9" customHeight="1" thickBot="1">
      <c r="B7" s="159"/>
      <c r="C7" s="160"/>
      <c r="D7" s="160"/>
      <c r="E7" s="160"/>
      <c r="F7" s="160"/>
      <c r="G7" s="150" t="s">
        <v>200</v>
      </c>
      <c r="H7" s="153">
        <f>Phase1open</f>
        <v>3</v>
      </c>
      <c r="I7" s="160"/>
      <c r="J7" s="160"/>
      <c r="K7" s="149"/>
      <c r="L7" s="117"/>
      <c r="M7" s="117"/>
      <c r="N7" s="117"/>
      <c r="O7" s="117"/>
    </row>
    <row r="8" spans="2:17" ht="9" customHeight="1">
      <c r="B8" s="117"/>
      <c r="C8" s="136"/>
      <c r="D8" s="120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2:17" ht="9" customHeight="1">
      <c r="B9" s="121" t="s">
        <v>183</v>
      </c>
      <c r="C9" s="121"/>
      <c r="D9" s="117"/>
      <c r="E9" s="122">
        <f>IF(OR(E$2=$H7,E$2&gt;$H7),INDEX(summary!$A$2:$D$24,MATCH($D6,summary!$A$2:$A$24,0),MATCH($D5,summary!$A$2:$D$2,0)),0)</f>
        <v>0</v>
      </c>
      <c r="F9" s="122">
        <f>IF(OR(F$2=$H7,F$2&gt;$H7),INDEX(summary!$A$2:$D$24,MATCH($D6,summary!$A$2:$A$24,0),MATCH($D5,summary!$A$2:$D$2,0)),0)</f>
        <v>0</v>
      </c>
      <c r="G9" s="122">
        <f>IF(OR(G$2=$H7,G$2&gt;$H7),INDEX(summary!$A$2:$D$24,MATCH($D6,summary!$A$2:$A$24,0),MATCH($D5,summary!$A$2:$D$2,0)),0)</f>
        <v>0</v>
      </c>
      <c r="H9" s="122">
        <f>IF(OR(H$2=$H7,H$2&gt;$H7),INDEX(summary!$A$2:$D$24,MATCH($D6,summary!$A$2:$A$24,0),MATCH($D5,summary!$A$2:$D$2,0)),0)</f>
        <v>101447</v>
      </c>
      <c r="I9" s="122">
        <f>IF(OR(I$2=$H7,I$2&gt;$H7),INDEX(summary!$A$2:$D$24,MATCH($D6,summary!$A$2:$A$24,0),MATCH($D5,summary!$A$2:$D$2,0)),0)</f>
        <v>101447</v>
      </c>
      <c r="J9" s="122">
        <f>IF(OR(J$2=$H7,J$2&gt;$H7),INDEX(summary!$A$2:$D$24,MATCH($D6,summary!$A$2:$A$24,0),MATCH($D5,summary!$A$2:$D$2,0)),0)</f>
        <v>101447</v>
      </c>
      <c r="K9" s="122">
        <f>IF(OR(K$2=$H7,K$2&gt;$H7),INDEX(summary!$A$2:$D$24,MATCH($D6,summary!$A$2:$A$24,0),MATCH($D5,summary!$A$2:$D$2,0)),0)</f>
        <v>101447</v>
      </c>
      <c r="L9" s="122">
        <f>IF(OR(L$2=$H7,L$2&gt;$H7),INDEX(summary!$A$2:$D$24,MATCH($D6,summary!$A$2:$A$24,0),MATCH($D5,summary!$A$2:$D$2,0)),0)</f>
        <v>101447</v>
      </c>
      <c r="M9" s="122">
        <f>IF(OR(M$2=$H7,M$2&gt;$H7),INDEX(summary!$A$2:$D$24,MATCH($D6,summary!$A$2:$A$24,0),MATCH($D5,summary!$A$2:$D$2,0)),0)</f>
        <v>101447</v>
      </c>
      <c r="N9" s="122">
        <f>IF(OR(N$2=$H7,N$2&gt;$H7),INDEX(summary!$A$2:$D$24,MATCH($D6,summary!$A$2:$A$24,0),MATCH($D5,summary!$A$2:$D$2,0)),0)</f>
        <v>101447</v>
      </c>
      <c r="O9" s="122">
        <f>IF(OR(O$2=$H7,O$2&gt;$H7),INDEX(summary!$A$2:$D$24,MATCH($D6,summary!$A$2:$A$24,0),MATCH($D5,summary!$A$2:$D$2,0)),0)</f>
        <v>101447</v>
      </c>
    </row>
    <row r="10" spans="2:17" ht="9" customHeight="1">
      <c r="B10" s="117"/>
      <c r="C10" s="139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2:17" ht="9" customHeight="1">
      <c r="B11" s="121" t="s">
        <v>291</v>
      </c>
      <c r="C11" s="139"/>
      <c r="D11" s="124">
        <f>entrancefee</f>
        <v>1</v>
      </c>
      <c r="E11" s="125">
        <f t="shared" ref="E11:O11" si="0">IF(E9&gt;0,annualvisitors*(($D11)*((1+Inflation)^(E$2-1))),0)</f>
        <v>0</v>
      </c>
      <c r="F11" s="125">
        <f t="shared" si="0"/>
        <v>0</v>
      </c>
      <c r="G11" s="125">
        <f t="shared" si="0"/>
        <v>0</v>
      </c>
      <c r="H11" s="125">
        <f t="shared" si="0"/>
        <v>189873</v>
      </c>
      <c r="I11" s="125">
        <f t="shared" si="0"/>
        <v>193670.46</v>
      </c>
      <c r="J11" s="125">
        <f t="shared" si="0"/>
        <v>197543.86919999999</v>
      </c>
      <c r="K11" s="125">
        <f t="shared" si="0"/>
        <v>201494.74658400001</v>
      </c>
      <c r="L11" s="125">
        <f t="shared" si="0"/>
        <v>205524.64151568001</v>
      </c>
      <c r="M11" s="125">
        <f t="shared" si="0"/>
        <v>209635.13434599357</v>
      </c>
      <c r="N11" s="125">
        <f t="shared" si="0"/>
        <v>213827.83703291346</v>
      </c>
      <c r="O11" s="125">
        <f t="shared" si="0"/>
        <v>218104.39377357173</v>
      </c>
    </row>
    <row r="12" spans="2:17" ht="9" customHeight="1">
      <c r="B12" s="121" t="s">
        <v>293</v>
      </c>
      <c r="C12" s="139"/>
      <c r="D12" s="265">
        <f>giftshopincome</f>
        <v>1000</v>
      </c>
      <c r="E12" s="129">
        <f t="shared" ref="E12:O12" si="1">IF(E9&gt;0,($D12*((1+Inflation)^(E$2-1))),0)</f>
        <v>0</v>
      </c>
      <c r="F12" s="129">
        <f t="shared" si="1"/>
        <v>0</v>
      </c>
      <c r="G12" s="129">
        <f t="shared" si="1"/>
        <v>0</v>
      </c>
      <c r="H12" s="129">
        <f t="shared" si="1"/>
        <v>1040.4000000000001</v>
      </c>
      <c r="I12" s="129">
        <f t="shared" si="1"/>
        <v>1061.2079999999999</v>
      </c>
      <c r="J12" s="129">
        <f t="shared" si="1"/>
        <v>1082.4321600000001</v>
      </c>
      <c r="K12" s="129">
        <f t="shared" si="1"/>
        <v>1104.0808032</v>
      </c>
      <c r="L12" s="129">
        <f t="shared" si="1"/>
        <v>1126.1624192640002</v>
      </c>
      <c r="M12" s="129">
        <f t="shared" si="1"/>
        <v>1148.6856676492798</v>
      </c>
      <c r="N12" s="129">
        <f t="shared" si="1"/>
        <v>1171.6593810022655</v>
      </c>
      <c r="O12" s="129">
        <f t="shared" si="1"/>
        <v>1195.0925686223109</v>
      </c>
      <c r="P12" s="237"/>
    </row>
    <row r="13" spans="2:17" ht="9" customHeight="1">
      <c r="B13" s="134" t="s">
        <v>194</v>
      </c>
      <c r="C13" s="139"/>
      <c r="D13" s="265">
        <f>cockpit!F83</f>
        <v>26533.333333333332</v>
      </c>
      <c r="E13" s="126">
        <f t="shared" ref="E13:O13" si="2">-IF(E9&gt;0,($D13*((1+Inflation)^(E$2-1))),0)</f>
        <v>0</v>
      </c>
      <c r="F13" s="126">
        <f t="shared" si="2"/>
        <v>0</v>
      </c>
      <c r="G13" s="126">
        <f t="shared" si="2"/>
        <v>0</v>
      </c>
      <c r="H13" s="126">
        <f t="shared" si="2"/>
        <v>-27605.279999999999</v>
      </c>
      <c r="I13" s="126">
        <f t="shared" si="2"/>
        <v>-28157.385599999998</v>
      </c>
      <c r="J13" s="126">
        <f t="shared" si="2"/>
        <v>-28720.533312</v>
      </c>
      <c r="K13" s="126">
        <f t="shared" si="2"/>
        <v>-29294.94397824</v>
      </c>
      <c r="L13" s="126">
        <f t="shared" si="2"/>
        <v>-29880.842857804801</v>
      </c>
      <c r="M13" s="126">
        <f t="shared" si="2"/>
        <v>-30478.459714960889</v>
      </c>
      <c r="N13" s="126">
        <f t="shared" si="2"/>
        <v>-31088.028909260109</v>
      </c>
      <c r="O13" s="126">
        <f t="shared" si="2"/>
        <v>-31709.789487445312</v>
      </c>
      <c r="P13" s="236"/>
      <c r="Q13" s="236"/>
    </row>
    <row r="14" spans="2:17" ht="9" customHeight="1">
      <c r="B14" s="127" t="s">
        <v>168</v>
      </c>
      <c r="C14" s="139"/>
      <c r="D14" s="117"/>
      <c r="E14" s="125">
        <f t="shared" ref="E14:O14" si="3">SUM(E11:E13)</f>
        <v>0</v>
      </c>
      <c r="F14" s="125">
        <f t="shared" si="3"/>
        <v>0</v>
      </c>
      <c r="G14" s="125">
        <f t="shared" si="3"/>
        <v>0</v>
      </c>
      <c r="H14" s="125">
        <f t="shared" si="3"/>
        <v>163308.12</v>
      </c>
      <c r="I14" s="125">
        <f t="shared" si="3"/>
        <v>166574.2824</v>
      </c>
      <c r="J14" s="125">
        <f t="shared" si="3"/>
        <v>169905.768048</v>
      </c>
      <c r="K14" s="125">
        <f t="shared" si="3"/>
        <v>173303.88340896001</v>
      </c>
      <c r="L14" s="125">
        <f t="shared" si="3"/>
        <v>176769.96107713922</v>
      </c>
      <c r="M14" s="125">
        <f t="shared" si="3"/>
        <v>180305.36029868198</v>
      </c>
      <c r="N14" s="125">
        <f t="shared" si="3"/>
        <v>183911.46750465562</v>
      </c>
      <c r="O14" s="125">
        <f t="shared" si="3"/>
        <v>187589.69685474873</v>
      </c>
    </row>
    <row r="15" spans="2:17" ht="9" customHeight="1">
      <c r="B15" s="117"/>
      <c r="C15" s="139"/>
      <c r="D15" s="117"/>
      <c r="E15" s="217">
        <f t="shared" ref="E15:O15" si="4">IFERROR(E14/SUM(E11:E11),0)</f>
        <v>0</v>
      </c>
      <c r="F15" s="217">
        <f t="shared" si="4"/>
        <v>0</v>
      </c>
      <c r="G15" s="217">
        <f t="shared" si="4"/>
        <v>0</v>
      </c>
      <c r="H15" s="217">
        <f t="shared" si="4"/>
        <v>0.86009132420091317</v>
      </c>
      <c r="I15" s="217">
        <f t="shared" si="4"/>
        <v>0.86009132420091328</v>
      </c>
      <c r="J15" s="217">
        <f t="shared" si="4"/>
        <v>0.86009132420091328</v>
      </c>
      <c r="K15" s="217">
        <f t="shared" si="4"/>
        <v>0.86009132420091328</v>
      </c>
      <c r="L15" s="217">
        <f t="shared" si="4"/>
        <v>0.86009132420091328</v>
      </c>
      <c r="M15" s="217">
        <f t="shared" si="4"/>
        <v>0.86009132420091328</v>
      </c>
      <c r="N15" s="217">
        <f t="shared" si="4"/>
        <v>0.86009132420091328</v>
      </c>
      <c r="O15" s="217">
        <f t="shared" si="4"/>
        <v>0.86009132420091328</v>
      </c>
    </row>
    <row r="16" spans="2:17" ht="9" customHeight="1">
      <c r="B16" s="121" t="s">
        <v>169</v>
      </c>
      <c r="C16" s="139"/>
      <c r="D16" s="128">
        <f>INDEX(cockpit!$J$6:$X$16,MATCH($D6,cockpit!$J$6:$J$16,0),MATCH($B16,cockpit!$J$6:$X$6,0))</f>
        <v>0.1</v>
      </c>
      <c r="E16" s="126">
        <f>-E9*$D16</f>
        <v>0</v>
      </c>
      <c r="F16" s="126">
        <f t="shared" ref="F16:O16" si="5">-F9*$D16</f>
        <v>0</v>
      </c>
      <c r="G16" s="126">
        <f t="shared" si="5"/>
        <v>0</v>
      </c>
      <c r="H16" s="126">
        <f t="shared" si="5"/>
        <v>-10144.700000000001</v>
      </c>
      <c r="I16" s="126">
        <f t="shared" si="5"/>
        <v>-10144.700000000001</v>
      </c>
      <c r="J16" s="126">
        <f t="shared" si="5"/>
        <v>-10144.700000000001</v>
      </c>
      <c r="K16" s="126">
        <f t="shared" si="5"/>
        <v>-10144.700000000001</v>
      </c>
      <c r="L16" s="126">
        <f t="shared" si="5"/>
        <v>-10144.700000000001</v>
      </c>
      <c r="M16" s="126">
        <f t="shared" si="5"/>
        <v>-10144.700000000001</v>
      </c>
      <c r="N16" s="126">
        <f t="shared" si="5"/>
        <v>-10144.700000000001</v>
      </c>
      <c r="O16" s="126">
        <f t="shared" si="5"/>
        <v>-10144.700000000001</v>
      </c>
    </row>
    <row r="17" spans="2:15" ht="9" customHeight="1">
      <c r="B17" s="127" t="s">
        <v>196</v>
      </c>
      <c r="C17" s="139"/>
      <c r="D17" s="128"/>
      <c r="E17" s="129">
        <f t="shared" ref="E17:O17" si="6">SUM(E16:E16)</f>
        <v>0</v>
      </c>
      <c r="F17" s="129">
        <f t="shared" si="6"/>
        <v>0</v>
      </c>
      <c r="G17" s="129">
        <f t="shared" si="6"/>
        <v>0</v>
      </c>
      <c r="H17" s="129">
        <f t="shared" si="6"/>
        <v>-10144.700000000001</v>
      </c>
      <c r="I17" s="129">
        <f t="shared" si="6"/>
        <v>-10144.700000000001</v>
      </c>
      <c r="J17" s="129">
        <f t="shared" si="6"/>
        <v>-10144.700000000001</v>
      </c>
      <c r="K17" s="129">
        <f t="shared" si="6"/>
        <v>-10144.700000000001</v>
      </c>
      <c r="L17" s="129">
        <f t="shared" si="6"/>
        <v>-10144.700000000001</v>
      </c>
      <c r="M17" s="129">
        <f t="shared" si="6"/>
        <v>-10144.700000000001</v>
      </c>
      <c r="N17" s="129">
        <f t="shared" si="6"/>
        <v>-10144.700000000001</v>
      </c>
      <c r="O17" s="129">
        <f t="shared" si="6"/>
        <v>-10144.700000000001</v>
      </c>
    </row>
    <row r="18" spans="2:15" ht="9" customHeight="1">
      <c r="B18" s="121"/>
      <c r="C18" s="139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2:15" ht="9" customHeight="1">
      <c r="B19" s="121" t="s">
        <v>277</v>
      </c>
      <c r="C19" s="139"/>
      <c r="D19" s="117"/>
      <c r="E19" s="251">
        <v>0</v>
      </c>
      <c r="F19" s="265">
        <f>'acq-demo-repur'!U6</f>
        <v>4928046.8167984169</v>
      </c>
      <c r="G19" s="251">
        <v>0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</row>
    <row r="20" spans="2:15" ht="9" customHeight="1">
      <c r="B20" s="121" t="s">
        <v>280</v>
      </c>
      <c r="C20" s="139"/>
      <c r="D20" s="117"/>
      <c r="E20" s="251">
        <v>0</v>
      </c>
      <c r="F20" s="251">
        <v>0</v>
      </c>
      <c r="G20" s="251">
        <v>0</v>
      </c>
      <c r="H20" s="251">
        <v>0</v>
      </c>
      <c r="I20" s="251">
        <v>0</v>
      </c>
      <c r="J20" s="251">
        <v>0</v>
      </c>
      <c r="K20" s="251">
        <v>0</v>
      </c>
      <c r="L20" s="251">
        <v>0</v>
      </c>
      <c r="M20" s="251">
        <v>0</v>
      </c>
      <c r="N20" s="251">
        <v>0</v>
      </c>
      <c r="O20" s="251">
        <v>0</v>
      </c>
    </row>
    <row r="21" spans="2:15" ht="9" customHeight="1">
      <c r="B21" s="121" t="s">
        <v>171</v>
      </c>
      <c r="C21" s="139"/>
      <c r="D21" s="124">
        <f>(publicspacesconstructioncostPSF*(1-$K5))+((publicspacesconstructioncostPSF*(1+premiumprices)*$K5))</f>
        <v>225</v>
      </c>
      <c r="E21" s="125">
        <f>-IF(OR(E$2=$H5,E$2=$H6,AND(E$2&gt;$H5,E$2&lt;$H6)),(INDEX(summary!$A$2:$D$24,MATCH($D6,summary!$A$2:$A$24,0),MATCH($D5,summary!$A$2:$D$2,0)))/Constructiontime)*($D21*((1+Inflation)^(E$2-1)))*(1+Developerfee)</f>
        <v>0</v>
      </c>
      <c r="F21" s="125">
        <f>-IF(OR(F$2=$H5,F$2=$H6,AND(F$2&gt;$H5,F$2&lt;$H6)),(INDEX(summary!$A$2:$D$24,MATCH($D6,summary!$A$2:$A$24,0),MATCH($D5,summary!$A$2:$D$2,0)))/Constructiontime)*($D21*((1+Inflation)^(F$2-1)))*(1+Developerfee)</f>
        <v>-13124705.624999998</v>
      </c>
      <c r="G21" s="125">
        <f>-IF(OR(G$2=$H5,G$2=$H6,AND(G$2&gt;$H5,G$2&lt;$H6)),(INDEX(summary!$A$2:$D$24,MATCH($D6,summary!$A$2:$A$24,0),MATCH($D5,summary!$A$2:$D$2,0)))/Constructiontime)*($D21*((1+Inflation)^(G$2-1)))*(1+Developerfee)</f>
        <v>-13387199.737499999</v>
      </c>
      <c r="H21" s="125">
        <f>-IF(OR(H$2=$H5,H$2=$H6,AND(H$2&gt;$H5,H$2&lt;$H6)),(INDEX(summary!$A$2:$D$24,MATCH($D6,summary!$A$2:$A$24,0),MATCH($D5,summary!$A$2:$D$2,0)))/Constructiontime)*($D21*((1+Inflation)^(H$2-1)))*(1+Developerfee)</f>
        <v>0</v>
      </c>
      <c r="I21" s="125">
        <f>-IF(OR(I$2=$H5,I$2=$H6,AND(I$2&gt;$H5,I$2&lt;$H6)),(INDEX(summary!$A$2:$D$24,MATCH($D6,summary!$A$2:$A$24,0),MATCH($D5,summary!$A$2:$D$2,0)))/Constructiontime)*($D21*((1+Inflation)^(I$2-1)))*(1+Developerfee)</f>
        <v>0</v>
      </c>
      <c r="J21" s="125">
        <f>-IF(OR(J$2=$H5,J$2=$H6,AND(J$2&gt;$H5,J$2&lt;$H6)),(INDEX(summary!$A$2:$D$24,MATCH($D6,summary!$A$2:$A$24,0),MATCH($D5,summary!$A$2:$D$2,0)))/Constructiontime)*($D21*((1+Inflation)^(J$2-1)))*(1+Developerfee)</f>
        <v>0</v>
      </c>
      <c r="K21" s="125">
        <f>-IF(OR(K$2=$H5,K$2=$H6,AND(K$2&gt;$H5,K$2&lt;$H6)),(INDEX(summary!$A$2:$D$24,MATCH($D6,summary!$A$2:$A$24,0),MATCH($D5,summary!$A$2:$D$2,0)))/Constructiontime)*($D21*((1+Inflation)^(K$2-1)))*(1+Developerfee)</f>
        <v>0</v>
      </c>
      <c r="L21" s="125">
        <f>-IF(OR(L$2=$H5,L$2=$H6,AND(L$2&gt;$H5,L$2&lt;$H6)),(INDEX(summary!$A$2:$D$24,MATCH($D6,summary!$A$2:$A$24,0),MATCH($D5,summary!$A$2:$D$2,0)))/Constructiontime)*($D21*((1+Inflation)^(L$2-1)))*(1+Developerfee)</f>
        <v>0</v>
      </c>
      <c r="M21" s="125">
        <f>-IF(OR(M$2=$H5,M$2=$H6,AND(M$2&gt;$H5,M$2&lt;$H6)),(INDEX(summary!$A$2:$D$24,MATCH($D6,summary!$A$2:$A$24,0),MATCH($D5,summary!$A$2:$D$2,0)))/Constructiontime)*($D21*((1+Inflation)^(M$2-1)))*(1+Developerfee)</f>
        <v>0</v>
      </c>
      <c r="N21" s="125">
        <f>-IF(OR(N$2=$H5,N$2=$H6,AND(N$2&gt;$H5,N$2&lt;$H6)),(INDEX(summary!$A$2:$D$24,MATCH($D6,summary!$A$2:$A$24,0),MATCH($D5,summary!$A$2:$D$2,0)))/Constructiontime)*($D21*((1+Inflation)^(N$2-1)))*(1+Developerfee)</f>
        <v>0</v>
      </c>
      <c r="O21" s="125">
        <f>-IF(OR(O$2=$H5,O$2=$H6,AND(O$2&gt;$H5,O$2&lt;$H6)),(INDEX(summary!$A$2:$D$24,MATCH($D6,summary!$A$2:$A$24,0),MATCH($D5,summary!$A$2:$D$2,0)))/Constructiontime)*($D21*((1+Inflation)^(O$2-1)))*(1+Developerfee)</f>
        <v>0</v>
      </c>
    </row>
    <row r="22" spans="2:15" ht="9" customHeight="1">
      <c r="B22" s="121" t="s">
        <v>198</v>
      </c>
      <c r="C22" s="139" t="s">
        <v>190</v>
      </c>
      <c r="D22" s="138">
        <f>(INDEX(cockpit!$J$6:$X$16,MATCH($D6,cockpit!$J$6:$J$16,0),MATCH($C22,cockpit!$J$6:$X$6,0))*(1-$K5))+((INDEX(cockpit!$J$6:$X$16,MATCH($D6,cockpit!$J$6:$J$16,0),MATCH($C22,cockpit!$J$6:$X$6,0))-(Premiumexitcaprate))*$K5)</f>
        <v>0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2:15" ht="9" customHeight="1">
      <c r="B23" s="127" t="s">
        <v>197</v>
      </c>
      <c r="C23" s="139"/>
      <c r="D23" s="123"/>
      <c r="E23" s="129">
        <f t="shared" ref="E23:O23" si="7">SUM(E21:E22)</f>
        <v>0</v>
      </c>
      <c r="F23" s="129">
        <f t="shared" si="7"/>
        <v>-13124705.624999998</v>
      </c>
      <c r="G23" s="129">
        <f t="shared" si="7"/>
        <v>-13387199.737499999</v>
      </c>
      <c r="H23" s="129">
        <f t="shared" si="7"/>
        <v>0</v>
      </c>
      <c r="I23" s="129">
        <f t="shared" si="7"/>
        <v>0</v>
      </c>
      <c r="J23" s="129">
        <f t="shared" si="7"/>
        <v>0</v>
      </c>
      <c r="K23" s="129">
        <f t="shared" si="7"/>
        <v>0</v>
      </c>
      <c r="L23" s="129">
        <f t="shared" si="7"/>
        <v>0</v>
      </c>
      <c r="M23" s="129">
        <f t="shared" si="7"/>
        <v>0</v>
      </c>
      <c r="N23" s="129">
        <f t="shared" si="7"/>
        <v>0</v>
      </c>
      <c r="O23" s="129">
        <f t="shared" si="7"/>
        <v>0</v>
      </c>
    </row>
    <row r="24" spans="2:15" ht="9" customHeight="1">
      <c r="B24" s="121"/>
      <c r="C24" s="139"/>
      <c r="D24" s="123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2:15" ht="9" customHeight="1">
      <c r="B25" s="127" t="s">
        <v>170</v>
      </c>
      <c r="C25" s="127"/>
      <c r="D25" s="130"/>
      <c r="E25" s="131">
        <f t="shared" ref="E25:O25" si="8">SUM(E14,E17,E23)</f>
        <v>0</v>
      </c>
      <c r="F25" s="131">
        <f t="shared" si="8"/>
        <v>-13124705.624999998</v>
      </c>
      <c r="G25" s="131">
        <f t="shared" si="8"/>
        <v>-13387199.737499999</v>
      </c>
      <c r="H25" s="131">
        <f t="shared" si="8"/>
        <v>153163.41999999998</v>
      </c>
      <c r="I25" s="131">
        <f t="shared" si="8"/>
        <v>156429.58239999998</v>
      </c>
      <c r="J25" s="131">
        <f t="shared" si="8"/>
        <v>159761.06804799999</v>
      </c>
      <c r="K25" s="131">
        <f t="shared" si="8"/>
        <v>163159.18340896</v>
      </c>
      <c r="L25" s="131">
        <f t="shared" si="8"/>
        <v>166625.26107713921</v>
      </c>
      <c r="M25" s="131">
        <f t="shared" si="8"/>
        <v>170160.66029868196</v>
      </c>
      <c r="N25" s="131">
        <f t="shared" si="8"/>
        <v>173766.76750465561</v>
      </c>
      <c r="O25" s="131">
        <f t="shared" si="8"/>
        <v>177444.99685474872</v>
      </c>
    </row>
    <row r="26" spans="2:15" ht="9" customHeight="1" thickBot="1">
      <c r="B26" s="127"/>
      <c r="C26" s="127"/>
      <c r="D26" s="132"/>
      <c r="E26" s="117"/>
      <c r="F26" s="117"/>
      <c r="G26" s="117"/>
      <c r="H26" s="133"/>
      <c r="I26" s="117"/>
      <c r="J26" s="117"/>
      <c r="K26" s="117"/>
      <c r="L26" s="117"/>
      <c r="M26" s="117"/>
      <c r="N26" s="117"/>
      <c r="O26" s="117"/>
    </row>
    <row r="27" spans="2:15" ht="9" customHeight="1">
      <c r="B27" s="144" t="s">
        <v>199</v>
      </c>
      <c r="C27" s="145"/>
      <c r="D27" s="145"/>
      <c r="E27" s="156"/>
      <c r="F27" s="157"/>
      <c r="G27" s="157"/>
      <c r="H27" s="157"/>
      <c r="I27" s="157"/>
      <c r="J27" s="157"/>
      <c r="K27" s="146"/>
      <c r="L27" s="119"/>
      <c r="M27" s="119"/>
      <c r="N27" s="119"/>
      <c r="O27" s="119"/>
    </row>
    <row r="28" spans="2:15" ht="9" customHeight="1">
      <c r="B28" s="147" t="s">
        <v>89</v>
      </c>
      <c r="C28" s="142"/>
      <c r="D28" s="155">
        <v>2</v>
      </c>
      <c r="E28" s="140"/>
      <c r="F28" s="140"/>
      <c r="G28" s="141" t="s">
        <v>205</v>
      </c>
      <c r="H28" s="161">
        <f>Phase2begin</f>
        <v>3</v>
      </c>
      <c r="I28" s="140"/>
      <c r="J28" s="141" t="s">
        <v>202</v>
      </c>
      <c r="K28" s="158">
        <f>summary!AF49</f>
        <v>0</v>
      </c>
      <c r="L28" s="117"/>
      <c r="M28" s="117"/>
      <c r="N28" s="117"/>
      <c r="O28" s="117"/>
    </row>
    <row r="29" spans="2:15" ht="9" customHeight="1">
      <c r="B29" s="147" t="s">
        <v>94</v>
      </c>
      <c r="C29" s="142"/>
      <c r="D29" s="152" t="s">
        <v>287</v>
      </c>
      <c r="E29" s="140"/>
      <c r="F29" s="140"/>
      <c r="G29" s="141" t="s">
        <v>206</v>
      </c>
      <c r="H29" s="161">
        <f>Phase2end</f>
        <v>4</v>
      </c>
      <c r="I29" s="140"/>
      <c r="J29" s="140"/>
      <c r="K29" s="148"/>
      <c r="L29" s="117"/>
      <c r="M29" s="117"/>
      <c r="N29" s="117"/>
      <c r="O29" s="117"/>
    </row>
    <row r="30" spans="2:15" ht="9" customHeight="1" thickBot="1">
      <c r="B30" s="159"/>
      <c r="C30" s="160"/>
      <c r="D30" s="160"/>
      <c r="E30" s="160"/>
      <c r="F30" s="160"/>
      <c r="G30" s="150" t="s">
        <v>200</v>
      </c>
      <c r="H30" s="153">
        <f>Phase2open</f>
        <v>5</v>
      </c>
      <c r="I30" s="160"/>
      <c r="J30" s="160"/>
      <c r="K30" s="149"/>
      <c r="L30" s="117"/>
      <c r="M30" s="117"/>
      <c r="N30" s="117"/>
      <c r="O30" s="117"/>
    </row>
    <row r="31" spans="2:15" ht="9" customHeight="1">
      <c r="B31" s="117"/>
      <c r="C31" s="136"/>
      <c r="D31" s="120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2:15" ht="9" customHeight="1">
      <c r="B32" s="121" t="s">
        <v>183</v>
      </c>
      <c r="C32" s="121"/>
      <c r="D32" s="117"/>
      <c r="E32" s="122">
        <f>IF(OR(E$2=$H30,E$2&gt;$H30),INDEX(summary!$A$2:$D$24,MATCH($D29,summary!$A$2:$A$24,0),MATCH($D28,summary!$A$2:$D$2,0)),0)</f>
        <v>0</v>
      </c>
      <c r="F32" s="122">
        <f>IF(OR(F$2=$H30,F$2&gt;$H30),INDEX(summary!$A$2:$D$24,MATCH($D29,summary!$A$2:$A$24,0),MATCH($D28,summary!$A$2:$D$2,0)),0)</f>
        <v>0</v>
      </c>
      <c r="G32" s="122">
        <f>IF(OR(G$2=$H30,G$2&gt;$H30),INDEX(summary!$A$2:$D$24,MATCH($D29,summary!$A$2:$A$24,0),MATCH($D28,summary!$A$2:$D$2,0)),0)</f>
        <v>0</v>
      </c>
      <c r="H32" s="122">
        <f>IF(OR(H$2=$H30,H$2&gt;$H30),INDEX(summary!$A$2:$D$24,MATCH($D29,summary!$A$2:$A$24,0),MATCH($D28,summary!$A$2:$D$2,0)),0)</f>
        <v>0</v>
      </c>
      <c r="I32" s="122">
        <f>IF(OR(I$2=$H30,I$2&gt;$H30),INDEX(summary!$A$2:$D$24,MATCH($D29,summary!$A$2:$A$24,0),MATCH($D28,summary!$A$2:$D$2,0)),0)</f>
        <v>0</v>
      </c>
      <c r="J32" s="122">
        <f>IF(OR(J$2=$H30,J$2&gt;$H30),INDEX(summary!$A$2:$D$24,MATCH($D29,summary!$A$2:$A$24,0),MATCH($D28,summary!$A$2:$D$2,0)),0)</f>
        <v>42622.263599999998</v>
      </c>
      <c r="K32" s="122">
        <f>IF(OR(K$2=$H30,K$2&gt;$H30),INDEX(summary!$A$2:$D$24,MATCH($D29,summary!$A$2:$A$24,0),MATCH($D28,summary!$A$2:$D$2,0)),0)</f>
        <v>42622.263599999998</v>
      </c>
      <c r="L32" s="122">
        <f>IF(OR(L$2=$H30,L$2&gt;$H30),INDEX(summary!$A$2:$D$24,MATCH($D29,summary!$A$2:$A$24,0),MATCH($D28,summary!$A$2:$D$2,0)),0)</f>
        <v>42622.263599999998</v>
      </c>
      <c r="M32" s="122">
        <f>IF(OR(M$2=$H30,M$2&gt;$H30),INDEX(summary!$A$2:$D$24,MATCH($D29,summary!$A$2:$A$24,0),MATCH($D28,summary!$A$2:$D$2,0)),0)</f>
        <v>42622.263599999998</v>
      </c>
      <c r="N32" s="122">
        <f>IF(OR(N$2=$H30,N$2&gt;$H30),INDEX(summary!$A$2:$D$24,MATCH($D29,summary!$A$2:$A$24,0),MATCH($D28,summary!$A$2:$D$2,0)),0)</f>
        <v>42622.263599999998</v>
      </c>
      <c r="O32" s="122">
        <f>IF(OR(O$2=$H30,O$2&gt;$H30),INDEX(summary!$A$2:$D$24,MATCH($D29,summary!$A$2:$A$24,0),MATCH($D28,summary!$A$2:$D$2,0)),0)</f>
        <v>42622.263599999998</v>
      </c>
    </row>
    <row r="33" spans="2:15" ht="9" customHeight="1">
      <c r="B33" s="117"/>
      <c r="C33" s="139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2:15" ht="9" customHeight="1">
      <c r="B34" s="121" t="s">
        <v>291</v>
      </c>
      <c r="C34" s="139"/>
      <c r="D34" s="124">
        <f>entrancefee</f>
        <v>1</v>
      </c>
      <c r="E34" s="125">
        <f t="shared" ref="E34:O34" si="9">IF(E32&gt;0,annualvisitors*(($D34)*((1+Inflation)^(E$2-1))),0)</f>
        <v>0</v>
      </c>
      <c r="F34" s="125">
        <f t="shared" si="9"/>
        <v>0</v>
      </c>
      <c r="G34" s="125">
        <f t="shared" si="9"/>
        <v>0</v>
      </c>
      <c r="H34" s="125">
        <f t="shared" si="9"/>
        <v>0</v>
      </c>
      <c r="I34" s="125">
        <f t="shared" si="9"/>
        <v>0</v>
      </c>
      <c r="J34" s="125">
        <f t="shared" si="9"/>
        <v>197543.86919999999</v>
      </c>
      <c r="K34" s="125">
        <f t="shared" si="9"/>
        <v>201494.74658400001</v>
      </c>
      <c r="L34" s="125">
        <f t="shared" si="9"/>
        <v>205524.64151568001</v>
      </c>
      <c r="M34" s="125">
        <f t="shared" si="9"/>
        <v>209635.13434599357</v>
      </c>
      <c r="N34" s="125">
        <f t="shared" si="9"/>
        <v>213827.83703291346</v>
      </c>
      <c r="O34" s="125">
        <f t="shared" si="9"/>
        <v>218104.39377357173</v>
      </c>
    </row>
    <row r="35" spans="2:15" ht="9" customHeight="1">
      <c r="B35" s="121" t="s">
        <v>293</v>
      </c>
      <c r="C35" s="139"/>
      <c r="D35" s="265">
        <f>giftshopincome</f>
        <v>1000</v>
      </c>
      <c r="E35" s="129">
        <f t="shared" ref="E35:O35" si="10">IF(E32&gt;0,($D35*((1+Inflation)^(E$2-1))),0)</f>
        <v>0</v>
      </c>
      <c r="F35" s="129">
        <f t="shared" si="10"/>
        <v>0</v>
      </c>
      <c r="G35" s="129">
        <f t="shared" si="10"/>
        <v>0</v>
      </c>
      <c r="H35" s="129">
        <f t="shared" si="10"/>
        <v>0</v>
      </c>
      <c r="I35" s="129">
        <f t="shared" si="10"/>
        <v>0</v>
      </c>
      <c r="J35" s="129">
        <f t="shared" si="10"/>
        <v>1082.4321600000001</v>
      </c>
      <c r="K35" s="129">
        <f t="shared" si="10"/>
        <v>1104.0808032</v>
      </c>
      <c r="L35" s="129">
        <f t="shared" si="10"/>
        <v>1126.1624192640002</v>
      </c>
      <c r="M35" s="129">
        <f t="shared" si="10"/>
        <v>1148.6856676492798</v>
      </c>
      <c r="N35" s="129">
        <f t="shared" si="10"/>
        <v>1171.6593810022655</v>
      </c>
      <c r="O35" s="129">
        <f t="shared" si="10"/>
        <v>1195.0925686223109</v>
      </c>
    </row>
    <row r="36" spans="2:15" ht="9" customHeight="1">
      <c r="B36" s="134" t="s">
        <v>194</v>
      </c>
      <c r="C36" s="139"/>
      <c r="D36" s="265">
        <f>cockpit!F83</f>
        <v>26533.333333333332</v>
      </c>
      <c r="E36" s="126">
        <f t="shared" ref="E36:O36" si="11">-IF(E32&gt;0,($D36*((1+Inflation)^(E$2-1))),0)</f>
        <v>0</v>
      </c>
      <c r="F36" s="126">
        <f t="shared" si="11"/>
        <v>0</v>
      </c>
      <c r="G36" s="126">
        <f t="shared" si="11"/>
        <v>0</v>
      </c>
      <c r="H36" s="126">
        <f t="shared" si="11"/>
        <v>0</v>
      </c>
      <c r="I36" s="126">
        <f t="shared" si="11"/>
        <v>0</v>
      </c>
      <c r="J36" s="126">
        <f t="shared" si="11"/>
        <v>-28720.533312</v>
      </c>
      <c r="K36" s="126">
        <f t="shared" si="11"/>
        <v>-29294.94397824</v>
      </c>
      <c r="L36" s="126">
        <f t="shared" si="11"/>
        <v>-29880.842857804801</v>
      </c>
      <c r="M36" s="126">
        <f t="shared" si="11"/>
        <v>-30478.459714960889</v>
      </c>
      <c r="N36" s="126">
        <f t="shared" si="11"/>
        <v>-31088.028909260109</v>
      </c>
      <c r="O36" s="126">
        <f t="shared" si="11"/>
        <v>-31709.789487445312</v>
      </c>
    </row>
    <row r="37" spans="2:15" ht="9" customHeight="1">
      <c r="B37" s="127" t="s">
        <v>168</v>
      </c>
      <c r="C37" s="139"/>
      <c r="D37" s="117"/>
      <c r="E37" s="125">
        <f t="shared" ref="E37:O37" si="12">SUM(E34:E36)</f>
        <v>0</v>
      </c>
      <c r="F37" s="125">
        <f t="shared" si="12"/>
        <v>0</v>
      </c>
      <c r="G37" s="125">
        <f t="shared" si="12"/>
        <v>0</v>
      </c>
      <c r="H37" s="125">
        <f t="shared" si="12"/>
        <v>0</v>
      </c>
      <c r="I37" s="125">
        <f t="shared" si="12"/>
        <v>0</v>
      </c>
      <c r="J37" s="125">
        <f t="shared" si="12"/>
        <v>169905.768048</v>
      </c>
      <c r="K37" s="125">
        <f t="shared" si="12"/>
        <v>173303.88340896001</v>
      </c>
      <c r="L37" s="125">
        <f t="shared" si="12"/>
        <v>176769.96107713922</v>
      </c>
      <c r="M37" s="125">
        <f t="shared" si="12"/>
        <v>180305.36029868198</v>
      </c>
      <c r="N37" s="125">
        <f t="shared" si="12"/>
        <v>183911.46750465562</v>
      </c>
      <c r="O37" s="125">
        <f t="shared" si="12"/>
        <v>187589.69685474873</v>
      </c>
    </row>
    <row r="38" spans="2:15" ht="9" customHeight="1">
      <c r="B38" s="117"/>
      <c r="C38" s="139"/>
      <c r="D38" s="117"/>
      <c r="E38" s="217">
        <f t="shared" ref="E38:O38" si="13">IFERROR(E37/SUM(E34:E34),0)</f>
        <v>0</v>
      </c>
      <c r="F38" s="217">
        <f t="shared" si="13"/>
        <v>0</v>
      </c>
      <c r="G38" s="217">
        <f t="shared" si="13"/>
        <v>0</v>
      </c>
      <c r="H38" s="217">
        <f t="shared" si="13"/>
        <v>0</v>
      </c>
      <c r="I38" s="217">
        <f t="shared" si="13"/>
        <v>0</v>
      </c>
      <c r="J38" s="217">
        <f t="shared" si="13"/>
        <v>0.86009132420091328</v>
      </c>
      <c r="K38" s="217">
        <f t="shared" si="13"/>
        <v>0.86009132420091328</v>
      </c>
      <c r="L38" s="217">
        <f t="shared" si="13"/>
        <v>0.86009132420091328</v>
      </c>
      <c r="M38" s="217">
        <f t="shared" si="13"/>
        <v>0.86009132420091328</v>
      </c>
      <c r="N38" s="217">
        <f t="shared" si="13"/>
        <v>0.86009132420091328</v>
      </c>
      <c r="O38" s="217">
        <f t="shared" si="13"/>
        <v>0.86009132420091328</v>
      </c>
    </row>
    <row r="39" spans="2:15" ht="9" customHeight="1">
      <c r="B39" s="121" t="s">
        <v>169</v>
      </c>
      <c r="C39" s="139"/>
      <c r="D39" s="128">
        <f>INDEX(cockpit!$J$6:$X$16,MATCH($D29,cockpit!$J$6:$J$16,0),MATCH($B39,cockpit!$J$6:$X$6,0))</f>
        <v>0.1</v>
      </c>
      <c r="E39" s="126">
        <f>-E32*$D39</f>
        <v>0</v>
      </c>
      <c r="F39" s="126">
        <f t="shared" ref="F39:O39" si="14">-F32*$D39</f>
        <v>0</v>
      </c>
      <c r="G39" s="126">
        <f t="shared" si="14"/>
        <v>0</v>
      </c>
      <c r="H39" s="126">
        <f t="shared" si="14"/>
        <v>0</v>
      </c>
      <c r="I39" s="126">
        <f t="shared" si="14"/>
        <v>0</v>
      </c>
      <c r="J39" s="126">
        <f t="shared" si="14"/>
        <v>-4262.2263599999997</v>
      </c>
      <c r="K39" s="126">
        <f t="shared" si="14"/>
        <v>-4262.2263599999997</v>
      </c>
      <c r="L39" s="126">
        <f t="shared" si="14"/>
        <v>-4262.2263599999997</v>
      </c>
      <c r="M39" s="126">
        <f t="shared" si="14"/>
        <v>-4262.2263599999997</v>
      </c>
      <c r="N39" s="126">
        <f t="shared" si="14"/>
        <v>-4262.2263599999997</v>
      </c>
      <c r="O39" s="126">
        <f t="shared" si="14"/>
        <v>-4262.2263599999997</v>
      </c>
    </row>
    <row r="40" spans="2:15" ht="9" customHeight="1">
      <c r="B40" s="127" t="s">
        <v>196</v>
      </c>
      <c r="C40" s="139"/>
      <c r="D40" s="128"/>
      <c r="E40" s="129">
        <f t="shared" ref="E40:O40" si="15">SUM(E39:E39)</f>
        <v>0</v>
      </c>
      <c r="F40" s="129">
        <f t="shared" si="15"/>
        <v>0</v>
      </c>
      <c r="G40" s="129">
        <f t="shared" si="15"/>
        <v>0</v>
      </c>
      <c r="H40" s="129">
        <f t="shared" si="15"/>
        <v>0</v>
      </c>
      <c r="I40" s="129">
        <f t="shared" si="15"/>
        <v>0</v>
      </c>
      <c r="J40" s="129">
        <f t="shared" si="15"/>
        <v>-4262.2263599999997</v>
      </c>
      <c r="K40" s="129">
        <f t="shared" si="15"/>
        <v>-4262.2263599999997</v>
      </c>
      <c r="L40" s="129">
        <f t="shared" si="15"/>
        <v>-4262.2263599999997</v>
      </c>
      <c r="M40" s="129">
        <f t="shared" si="15"/>
        <v>-4262.2263599999997</v>
      </c>
      <c r="N40" s="129">
        <f t="shared" si="15"/>
        <v>-4262.2263599999997</v>
      </c>
      <c r="O40" s="129">
        <f t="shared" si="15"/>
        <v>-4262.2263599999997</v>
      </c>
    </row>
    <row r="41" spans="2:15" ht="9" customHeight="1">
      <c r="B41" s="121"/>
      <c r="C41" s="139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2:15" ht="9" customHeight="1">
      <c r="B42" s="121" t="s">
        <v>171</v>
      </c>
      <c r="C42" s="139"/>
      <c r="D42" s="124">
        <f>(publicspacesconstructioncostPSF*(1-$K28))+((publicspacesconstructioncostPSF*(1+premiumprices)*$K28))</f>
        <v>225</v>
      </c>
      <c r="E42" s="126">
        <f>-IF(OR(E$2=$H28,E$2=$H29,AND(E$2&gt;$H28,E$2&lt;$H29)),(INDEX(summary!$A$2:$D$24,MATCH($D29,summary!$A$2:$A$24,0),MATCH($D28,summary!$A$2:$D$2,0)))/Constructiontime)*($D42*((1+Inflation)^(E$2-1)))*(1+Developerfee)</f>
        <v>0</v>
      </c>
      <c r="F42" s="126">
        <f>-IF(OR(F$2=$H28,F$2=$H29,AND(F$2&gt;$H28,F$2&lt;$H29)),(INDEX(summary!$A$2:$D$24,MATCH($D29,summary!$A$2:$A$24,0),MATCH($D28,summary!$A$2:$D$2,0)))/Constructiontime)*($D42*((1+Inflation)^(F$2-1)))*(1+Developerfee)</f>
        <v>0</v>
      </c>
      <c r="G42" s="126">
        <f>-IF(OR(G$2=$H28,G$2=$H29,AND(G$2&gt;$H28,G$2&lt;$H29)),(INDEX(summary!$A$2:$D$24,MATCH($D29,summary!$A$2:$A$24,0),MATCH($D28,summary!$A$2:$D$2,0)))/Constructiontime)*($D42*((1+Inflation)^(G$2-1)))*(1+Developerfee)</f>
        <v>0</v>
      </c>
      <c r="H42" s="126">
        <f>-IF(OR(H$2=$H28,H$2=$H29,AND(H$2&gt;$H28,H$2&lt;$H29)),(INDEX(summary!$A$2:$D$24,MATCH($D29,summary!$A$2:$A$24,0),MATCH($D28,summary!$A$2:$D$2,0)))/Constructiontime)*($D42*((1+Inflation)^(H$2-1)))*(1+Developerfee)</f>
        <v>-5737031.2695212997</v>
      </c>
      <c r="I42" s="126">
        <f>-IF(OR(I$2=$H28,I$2=$H29,AND(I$2&gt;$H28,I$2&lt;$H29)),(INDEX(summary!$A$2:$D$24,MATCH($D29,summary!$A$2:$A$24,0),MATCH($D28,summary!$A$2:$D$2,0)))/Constructiontime)*($D42*((1+Inflation)^(I$2-1)))*(1+Developerfee)</f>
        <v>-5851771.8949117251</v>
      </c>
      <c r="J42" s="126">
        <f>-IF(OR(J$2=$H28,J$2=$H29,AND(J$2&gt;$H28,J$2&lt;$H29)),(INDEX(summary!$A$2:$D$24,MATCH($D29,summary!$A$2:$A$24,0),MATCH($D28,summary!$A$2:$D$2,0)))/Constructiontime)*($D42*((1+Inflation)^(J$2-1)))*(1+Developerfee)</f>
        <v>0</v>
      </c>
      <c r="K42" s="126">
        <f>-IF(OR(K$2=$H28,K$2=$H29,AND(K$2&gt;$H28,K$2&lt;$H29)),(INDEX(summary!$A$2:$D$24,MATCH($D29,summary!$A$2:$A$24,0),MATCH($D28,summary!$A$2:$D$2,0)))/Constructiontime)*($D42*((1+Inflation)^(K$2-1)))*(1+Developerfee)</f>
        <v>0</v>
      </c>
      <c r="L42" s="126">
        <f>-IF(OR(L$2=$H28,L$2=$H29,AND(L$2&gt;$H28,L$2&lt;$H29)),(INDEX(summary!$A$2:$D$24,MATCH($D29,summary!$A$2:$A$24,0),MATCH($D28,summary!$A$2:$D$2,0)))/Constructiontime)*($D42*((1+Inflation)^(L$2-1)))*(1+Developerfee)</f>
        <v>0</v>
      </c>
      <c r="M42" s="126">
        <f>-IF(OR(M$2=$H28,M$2=$H29,AND(M$2&gt;$H28,M$2&lt;$H29)),(INDEX(summary!$A$2:$D$24,MATCH($D29,summary!$A$2:$A$24,0),MATCH($D28,summary!$A$2:$D$2,0)))/Constructiontime)*($D42*((1+Inflation)^(M$2-1)))*(1+Developerfee)</f>
        <v>0</v>
      </c>
      <c r="N42" s="126">
        <f>-IF(OR(N$2=$H28,N$2=$H29,AND(N$2&gt;$H28,N$2&lt;$H29)),(INDEX(summary!$A$2:$D$24,MATCH($D29,summary!$A$2:$A$24,0),MATCH($D28,summary!$A$2:$D$2,0)))/Constructiontime)*($D42*((1+Inflation)^(N$2-1)))*(1+Developerfee)</f>
        <v>0</v>
      </c>
      <c r="O42" s="126">
        <f>-IF(OR(O$2=$H28,O$2=$H29,AND(O$2&gt;$H28,O$2&lt;$H29)),(INDEX(summary!$A$2:$D$24,MATCH($D29,summary!$A$2:$A$24,0),MATCH($D28,summary!$A$2:$D$2,0)))/Constructiontime)*($D42*((1+Inflation)^(O$2-1)))*(1+Developerfee)</f>
        <v>0</v>
      </c>
    </row>
    <row r="43" spans="2:15" ht="9" customHeight="1">
      <c r="B43" s="127" t="s">
        <v>197</v>
      </c>
      <c r="C43" s="139"/>
      <c r="D43" s="123"/>
      <c r="E43" s="129">
        <f t="shared" ref="E43:O43" si="16">SUM(E42:E42)</f>
        <v>0</v>
      </c>
      <c r="F43" s="129">
        <f t="shared" si="16"/>
        <v>0</v>
      </c>
      <c r="G43" s="129">
        <f t="shared" si="16"/>
        <v>0</v>
      </c>
      <c r="H43" s="129">
        <f t="shared" si="16"/>
        <v>-5737031.2695212997</v>
      </c>
      <c r="I43" s="129">
        <f t="shared" si="16"/>
        <v>-5851771.8949117251</v>
      </c>
      <c r="J43" s="129">
        <f t="shared" si="16"/>
        <v>0</v>
      </c>
      <c r="K43" s="129">
        <f t="shared" si="16"/>
        <v>0</v>
      </c>
      <c r="L43" s="129">
        <f t="shared" si="16"/>
        <v>0</v>
      </c>
      <c r="M43" s="129">
        <f t="shared" si="16"/>
        <v>0</v>
      </c>
      <c r="N43" s="129">
        <f t="shared" si="16"/>
        <v>0</v>
      </c>
      <c r="O43" s="129">
        <f t="shared" si="16"/>
        <v>0</v>
      </c>
    </row>
    <row r="44" spans="2:15" ht="9" customHeight="1">
      <c r="B44" s="121"/>
      <c r="C44" s="139"/>
      <c r="D44" s="123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</row>
    <row r="45" spans="2:15" ht="9" customHeight="1">
      <c r="B45" s="127" t="s">
        <v>170</v>
      </c>
      <c r="C45" s="127"/>
      <c r="D45" s="130"/>
      <c r="E45" s="131">
        <f t="shared" ref="E45:O45" si="17">SUM(E37,E40,E43)</f>
        <v>0</v>
      </c>
      <c r="F45" s="131">
        <f t="shared" si="17"/>
        <v>0</v>
      </c>
      <c r="G45" s="131">
        <f t="shared" si="17"/>
        <v>0</v>
      </c>
      <c r="H45" s="131">
        <f t="shared" si="17"/>
        <v>-5737031.2695212997</v>
      </c>
      <c r="I45" s="131">
        <f t="shared" si="17"/>
        <v>-5851771.8949117251</v>
      </c>
      <c r="J45" s="131">
        <f t="shared" si="17"/>
        <v>165643.541688</v>
      </c>
      <c r="K45" s="131">
        <f t="shared" si="17"/>
        <v>169041.65704896001</v>
      </c>
      <c r="L45" s="131">
        <f t="shared" si="17"/>
        <v>172507.73471713922</v>
      </c>
      <c r="M45" s="131">
        <f t="shared" si="17"/>
        <v>176043.13393868197</v>
      </c>
      <c r="N45" s="131">
        <f t="shared" si="17"/>
        <v>179649.24114465562</v>
      </c>
      <c r="O45" s="131">
        <f t="shared" si="17"/>
        <v>183327.47049474873</v>
      </c>
    </row>
    <row r="46" spans="2:15" ht="9" customHeight="1" thickBot="1">
      <c r="B46" s="143"/>
      <c r="C46" s="230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</row>
    <row r="47" spans="2:15" ht="9" customHeight="1">
      <c r="B47" s="144" t="s">
        <v>199</v>
      </c>
      <c r="C47" s="145"/>
      <c r="D47" s="145"/>
      <c r="E47" s="156"/>
      <c r="F47" s="157"/>
      <c r="G47" s="157"/>
      <c r="H47" s="157"/>
      <c r="I47" s="157"/>
      <c r="J47" s="157"/>
      <c r="K47" s="146"/>
      <c r="L47" s="119"/>
      <c r="M47" s="119"/>
      <c r="N47" s="119"/>
      <c r="O47" s="119"/>
    </row>
    <row r="48" spans="2:15" ht="9" customHeight="1">
      <c r="B48" s="147" t="s">
        <v>89</v>
      </c>
      <c r="C48" s="142"/>
      <c r="D48" s="155">
        <v>3</v>
      </c>
      <c r="E48" s="140"/>
      <c r="F48" s="140"/>
      <c r="G48" s="141" t="s">
        <v>205</v>
      </c>
      <c r="H48" s="161">
        <f>Phase3begin</f>
        <v>5</v>
      </c>
      <c r="I48" s="140"/>
      <c r="J48" s="141" t="s">
        <v>202</v>
      </c>
      <c r="K48" s="158">
        <f>summary!AF77</f>
        <v>0</v>
      </c>
      <c r="L48" s="117"/>
      <c r="M48" s="117"/>
      <c r="N48" s="117"/>
      <c r="O48" s="117"/>
    </row>
    <row r="49" spans="2:15" ht="9" customHeight="1">
      <c r="B49" s="147" t="s">
        <v>94</v>
      </c>
      <c r="C49" s="142"/>
      <c r="D49" s="152" t="s">
        <v>287</v>
      </c>
      <c r="E49" s="140"/>
      <c r="F49" s="140"/>
      <c r="G49" s="141" t="s">
        <v>206</v>
      </c>
      <c r="H49" s="161">
        <f>Phase3end</f>
        <v>6</v>
      </c>
      <c r="I49" s="140"/>
      <c r="J49" s="140"/>
      <c r="K49" s="148"/>
      <c r="L49" s="117"/>
      <c r="M49" s="117"/>
      <c r="N49" s="117"/>
      <c r="O49" s="117"/>
    </row>
    <row r="50" spans="2:15" ht="9" customHeight="1" thickBot="1">
      <c r="B50" s="159"/>
      <c r="C50" s="160"/>
      <c r="D50" s="160"/>
      <c r="E50" s="160"/>
      <c r="F50" s="160"/>
      <c r="G50" s="150" t="s">
        <v>200</v>
      </c>
      <c r="H50" s="153">
        <f>Phase3open</f>
        <v>7</v>
      </c>
      <c r="I50" s="160"/>
      <c r="J50" s="160"/>
      <c r="K50" s="149"/>
      <c r="L50" s="117"/>
      <c r="M50" s="117"/>
      <c r="N50" s="117"/>
      <c r="O50" s="117"/>
    </row>
    <row r="51" spans="2:15" ht="9" customHeight="1">
      <c r="B51" s="117"/>
      <c r="C51" s="136"/>
      <c r="D51" s="120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</row>
    <row r="52" spans="2:15" ht="9" customHeight="1">
      <c r="B52" s="121" t="s">
        <v>183</v>
      </c>
      <c r="C52" s="121"/>
      <c r="D52" s="117"/>
      <c r="E52" s="122">
        <f>IF(OR(E$2=$H50,E$2&gt;$H50),INDEX(summary!$A$2:$D$24,MATCH($D49,summary!$A$2:$A$24,0),MATCH($D48,summary!$A$2:$D$2,0)),0)</f>
        <v>0</v>
      </c>
      <c r="F52" s="122">
        <f>IF(OR(F$2=$H50,F$2&gt;$H50),INDEX(summary!$A$2:$D$24,MATCH($D49,summary!$A$2:$A$24,0),MATCH($D48,summary!$A$2:$D$2,0)),0)</f>
        <v>0</v>
      </c>
      <c r="G52" s="122">
        <f>IF(OR(G$2=$H50,G$2&gt;$H50),INDEX(summary!$A$2:$D$24,MATCH($D49,summary!$A$2:$A$24,0),MATCH($D48,summary!$A$2:$D$2,0)),0)</f>
        <v>0</v>
      </c>
      <c r="H52" s="122">
        <f>IF(OR(H$2=$H50,H$2&gt;$H50),INDEX(summary!$A$2:$D$24,MATCH($D49,summary!$A$2:$A$24,0),MATCH($D48,summary!$A$2:$D$2,0)),0)</f>
        <v>0</v>
      </c>
      <c r="I52" s="122">
        <f>IF(OR(I$2=$H50,I$2&gt;$H50),INDEX(summary!$A$2:$D$24,MATCH($D49,summary!$A$2:$A$24,0),MATCH($D48,summary!$A$2:$D$2,0)),0)</f>
        <v>0</v>
      </c>
      <c r="J52" s="122">
        <f>IF(OR(J$2=$H50,J$2&gt;$H50),INDEX(summary!$A$2:$D$24,MATCH($D49,summary!$A$2:$A$24,0),MATCH($D48,summary!$A$2:$D$2,0)),0)</f>
        <v>0</v>
      </c>
      <c r="K52" s="122">
        <f>IF(OR(K$2=$H50,K$2&gt;$H50),INDEX(summary!$A$2:$D$24,MATCH($D49,summary!$A$2:$A$24,0),MATCH($D48,summary!$A$2:$D$2,0)),0)</f>
        <v>0</v>
      </c>
      <c r="L52" s="122">
        <f>IF(OR(L$2=$H50,L$2&gt;$H50),INDEX(summary!$A$2:$D$24,MATCH($D49,summary!$A$2:$A$24,0),MATCH($D48,summary!$A$2:$D$2,0)),0)</f>
        <v>0</v>
      </c>
      <c r="M52" s="122">
        <f>IF(OR(M$2=$H50,M$2&gt;$H50),INDEX(summary!$A$2:$D$24,MATCH($D49,summary!$A$2:$A$24,0),MATCH($D48,summary!$A$2:$D$2,0)),0)</f>
        <v>0</v>
      </c>
      <c r="N52" s="122">
        <f>IF(OR(N$2=$H50,N$2&gt;$H50),INDEX(summary!$A$2:$D$24,MATCH($D49,summary!$A$2:$A$24,0),MATCH($D48,summary!$A$2:$D$2,0)),0)</f>
        <v>0</v>
      </c>
      <c r="O52" s="122">
        <f>IF(OR(O$2=$H50,O$2&gt;$H50),INDEX(summary!$A$2:$D$24,MATCH($D49,summary!$A$2:$A$24,0),MATCH($D48,summary!$A$2:$D$2,0)),0)</f>
        <v>0</v>
      </c>
    </row>
    <row r="53" spans="2:15" ht="9" customHeight="1">
      <c r="B53" s="117"/>
      <c r="C53" s="139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2:15" ht="9" customHeight="1">
      <c r="B54" s="121" t="s">
        <v>291</v>
      </c>
      <c r="C54" s="139"/>
      <c r="D54" s="124">
        <f>entrancefee</f>
        <v>1</v>
      </c>
      <c r="E54" s="125">
        <f t="shared" ref="E54:O54" si="18">IF(E52&gt;0,annualvisitors*(($D54)*((1+Inflation)^(E$2-1))),0)</f>
        <v>0</v>
      </c>
      <c r="F54" s="125">
        <f t="shared" si="18"/>
        <v>0</v>
      </c>
      <c r="G54" s="125">
        <f t="shared" si="18"/>
        <v>0</v>
      </c>
      <c r="H54" s="125">
        <f t="shared" si="18"/>
        <v>0</v>
      </c>
      <c r="I54" s="125">
        <f t="shared" si="18"/>
        <v>0</v>
      </c>
      <c r="J54" s="125">
        <f t="shared" si="18"/>
        <v>0</v>
      </c>
      <c r="K54" s="125">
        <f t="shared" si="18"/>
        <v>0</v>
      </c>
      <c r="L54" s="125">
        <f t="shared" si="18"/>
        <v>0</v>
      </c>
      <c r="M54" s="125">
        <f t="shared" si="18"/>
        <v>0</v>
      </c>
      <c r="N54" s="125">
        <f t="shared" si="18"/>
        <v>0</v>
      </c>
      <c r="O54" s="125">
        <f t="shared" si="18"/>
        <v>0</v>
      </c>
    </row>
    <row r="55" spans="2:15" ht="9" customHeight="1">
      <c r="B55" s="121" t="s">
        <v>293</v>
      </c>
      <c r="C55" s="139"/>
      <c r="D55" s="265">
        <f>giftshopincome</f>
        <v>1000</v>
      </c>
      <c r="E55" s="129">
        <f t="shared" ref="E55:O55" si="19">IF(E52&gt;0,($D55*((1+Inflation)^(E$2-1))),0)</f>
        <v>0</v>
      </c>
      <c r="F55" s="129">
        <f t="shared" si="19"/>
        <v>0</v>
      </c>
      <c r="G55" s="129">
        <f t="shared" si="19"/>
        <v>0</v>
      </c>
      <c r="H55" s="129">
        <f t="shared" si="19"/>
        <v>0</v>
      </c>
      <c r="I55" s="129">
        <f t="shared" si="19"/>
        <v>0</v>
      </c>
      <c r="J55" s="129">
        <f t="shared" si="19"/>
        <v>0</v>
      </c>
      <c r="K55" s="129">
        <f t="shared" si="19"/>
        <v>0</v>
      </c>
      <c r="L55" s="129">
        <f t="shared" si="19"/>
        <v>0</v>
      </c>
      <c r="M55" s="129">
        <f t="shared" si="19"/>
        <v>0</v>
      </c>
      <c r="N55" s="129">
        <f t="shared" si="19"/>
        <v>0</v>
      </c>
      <c r="O55" s="129">
        <f t="shared" si="19"/>
        <v>0</v>
      </c>
    </row>
    <row r="56" spans="2:15" ht="9" customHeight="1">
      <c r="B56" s="134" t="s">
        <v>194</v>
      </c>
      <c r="C56" s="139"/>
      <c r="D56" s="265">
        <f>D13</f>
        <v>26533.333333333332</v>
      </c>
      <c r="E56" s="126">
        <f t="shared" ref="E56:O56" si="20">-IF(E52&gt;0,($D56*((1+Inflation)^(E$2-1))),0)</f>
        <v>0</v>
      </c>
      <c r="F56" s="126">
        <f t="shared" si="20"/>
        <v>0</v>
      </c>
      <c r="G56" s="126">
        <f t="shared" si="20"/>
        <v>0</v>
      </c>
      <c r="H56" s="126">
        <f t="shared" si="20"/>
        <v>0</v>
      </c>
      <c r="I56" s="126">
        <f t="shared" si="20"/>
        <v>0</v>
      </c>
      <c r="J56" s="126">
        <f t="shared" si="20"/>
        <v>0</v>
      </c>
      <c r="K56" s="126">
        <f t="shared" si="20"/>
        <v>0</v>
      </c>
      <c r="L56" s="126">
        <f t="shared" si="20"/>
        <v>0</v>
      </c>
      <c r="M56" s="126">
        <f t="shared" si="20"/>
        <v>0</v>
      </c>
      <c r="N56" s="126">
        <f t="shared" si="20"/>
        <v>0</v>
      </c>
      <c r="O56" s="126">
        <f t="shared" si="20"/>
        <v>0</v>
      </c>
    </row>
    <row r="57" spans="2:15" ht="9" customHeight="1">
      <c r="B57" s="127" t="s">
        <v>168</v>
      </c>
      <c r="C57" s="139"/>
      <c r="D57" s="117"/>
      <c r="E57" s="125">
        <f t="shared" ref="E57:O57" si="21">SUM(E54:E56)</f>
        <v>0</v>
      </c>
      <c r="F57" s="125">
        <f t="shared" si="21"/>
        <v>0</v>
      </c>
      <c r="G57" s="125">
        <f t="shared" si="21"/>
        <v>0</v>
      </c>
      <c r="H57" s="125">
        <f t="shared" si="21"/>
        <v>0</v>
      </c>
      <c r="I57" s="125">
        <f t="shared" si="21"/>
        <v>0</v>
      </c>
      <c r="J57" s="125">
        <f t="shared" si="21"/>
        <v>0</v>
      </c>
      <c r="K57" s="125">
        <f t="shared" si="21"/>
        <v>0</v>
      </c>
      <c r="L57" s="125">
        <f t="shared" si="21"/>
        <v>0</v>
      </c>
      <c r="M57" s="125">
        <f t="shared" si="21"/>
        <v>0</v>
      </c>
      <c r="N57" s="125">
        <f t="shared" si="21"/>
        <v>0</v>
      </c>
      <c r="O57" s="125">
        <f t="shared" si="21"/>
        <v>0</v>
      </c>
    </row>
    <row r="58" spans="2:15" ht="9" customHeight="1">
      <c r="B58" s="117"/>
      <c r="C58" s="139"/>
      <c r="D58" s="117"/>
      <c r="E58" s="217">
        <f t="shared" ref="E58:O58" si="22">IFERROR(E57/SUM(E54:E54),0)</f>
        <v>0</v>
      </c>
      <c r="F58" s="217">
        <f t="shared" si="22"/>
        <v>0</v>
      </c>
      <c r="G58" s="217">
        <f t="shared" si="22"/>
        <v>0</v>
      </c>
      <c r="H58" s="217">
        <f t="shared" si="22"/>
        <v>0</v>
      </c>
      <c r="I58" s="217">
        <f t="shared" si="22"/>
        <v>0</v>
      </c>
      <c r="J58" s="217">
        <f t="shared" si="22"/>
        <v>0</v>
      </c>
      <c r="K58" s="217">
        <f t="shared" si="22"/>
        <v>0</v>
      </c>
      <c r="L58" s="217">
        <f t="shared" si="22"/>
        <v>0</v>
      </c>
      <c r="M58" s="217">
        <f t="shared" si="22"/>
        <v>0</v>
      </c>
      <c r="N58" s="217">
        <f t="shared" si="22"/>
        <v>0</v>
      </c>
      <c r="O58" s="217">
        <f t="shared" si="22"/>
        <v>0</v>
      </c>
    </row>
    <row r="59" spans="2:15" ht="9" customHeight="1">
      <c r="B59" s="121" t="s">
        <v>169</v>
      </c>
      <c r="C59" s="139"/>
      <c r="D59" s="128">
        <f>INDEX(cockpit!$J$6:$X$16,MATCH($D49,cockpit!$J$6:$J$16,0),MATCH($B59,cockpit!$J$6:$X$6,0))</f>
        <v>0.1</v>
      </c>
      <c r="E59" s="126">
        <f>-E52*$D59</f>
        <v>0</v>
      </c>
      <c r="F59" s="126">
        <f t="shared" ref="F59:O59" si="23">-F52*$D59</f>
        <v>0</v>
      </c>
      <c r="G59" s="126">
        <f t="shared" si="23"/>
        <v>0</v>
      </c>
      <c r="H59" s="126">
        <f t="shared" si="23"/>
        <v>0</v>
      </c>
      <c r="I59" s="126">
        <f t="shared" si="23"/>
        <v>0</v>
      </c>
      <c r="J59" s="126">
        <f t="shared" si="23"/>
        <v>0</v>
      </c>
      <c r="K59" s="126">
        <f t="shared" si="23"/>
        <v>0</v>
      </c>
      <c r="L59" s="126">
        <f t="shared" si="23"/>
        <v>0</v>
      </c>
      <c r="M59" s="126">
        <f t="shared" si="23"/>
        <v>0</v>
      </c>
      <c r="N59" s="126">
        <f t="shared" si="23"/>
        <v>0</v>
      </c>
      <c r="O59" s="126">
        <f t="shared" si="23"/>
        <v>0</v>
      </c>
    </row>
    <row r="60" spans="2:15" ht="9" customHeight="1">
      <c r="B60" s="127" t="s">
        <v>196</v>
      </c>
      <c r="C60" s="139"/>
      <c r="D60" s="128"/>
      <c r="E60" s="129">
        <f t="shared" ref="E60:O60" si="24">SUM(E59:E59)</f>
        <v>0</v>
      </c>
      <c r="F60" s="129">
        <f t="shared" si="24"/>
        <v>0</v>
      </c>
      <c r="G60" s="129">
        <f t="shared" si="24"/>
        <v>0</v>
      </c>
      <c r="H60" s="129">
        <f t="shared" si="24"/>
        <v>0</v>
      </c>
      <c r="I60" s="129">
        <f t="shared" si="24"/>
        <v>0</v>
      </c>
      <c r="J60" s="129">
        <f t="shared" si="24"/>
        <v>0</v>
      </c>
      <c r="K60" s="129">
        <f t="shared" si="24"/>
        <v>0</v>
      </c>
      <c r="L60" s="129">
        <f t="shared" si="24"/>
        <v>0</v>
      </c>
      <c r="M60" s="129">
        <f t="shared" si="24"/>
        <v>0</v>
      </c>
      <c r="N60" s="129">
        <f t="shared" si="24"/>
        <v>0</v>
      </c>
      <c r="O60" s="129">
        <f t="shared" si="24"/>
        <v>0</v>
      </c>
    </row>
    <row r="61" spans="2:15" ht="9" customHeight="1">
      <c r="B61" s="121"/>
      <c r="C61" s="139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</row>
    <row r="62" spans="2:15" ht="9" customHeight="1">
      <c r="B62" s="121" t="s">
        <v>171</v>
      </c>
      <c r="C62" s="139"/>
      <c r="D62" s="124">
        <f>(publicspacesconstructioncostPSF*(1-$K48))+((publicspacesconstructioncostPSF*(1+premiumprices)*$K48))</f>
        <v>225</v>
      </c>
      <c r="E62" s="126">
        <f>-IF(OR(E$2=$H48,E$2=$H49,AND(E$2&gt;$H48,E$2&lt;$H49)),(INDEX(summary!$A$2:$D$24,MATCH($D49,summary!$A$2:$A$24,0),MATCH($D48,summary!$A$2:$D$2,0)))/Constructiontime)*($D62*((1+Inflation)^(E$2-1)))*(1+Developerfee)</f>
        <v>0</v>
      </c>
      <c r="F62" s="126">
        <f>-IF(OR(F$2=$H48,F$2=$H49,AND(F$2&gt;$H48,F$2&lt;$H49)),(INDEX(summary!$A$2:$D$24,MATCH($D49,summary!$A$2:$A$24,0),MATCH($D48,summary!$A$2:$D$2,0)))/Constructiontime)*($D62*((1+Inflation)^(F$2-1)))*(1+Developerfee)</f>
        <v>0</v>
      </c>
      <c r="G62" s="126">
        <f>-IF(OR(G$2=$H48,G$2=$H49,AND(G$2&gt;$H48,G$2&lt;$H49)),(INDEX(summary!$A$2:$D$24,MATCH($D49,summary!$A$2:$A$24,0),MATCH($D48,summary!$A$2:$D$2,0)))/Constructiontime)*($D62*((1+Inflation)^(G$2-1)))*(1+Developerfee)</f>
        <v>0</v>
      </c>
      <c r="H62" s="126">
        <f>-IF(OR(H$2=$H48,H$2=$H49,AND(H$2&gt;$H48,H$2&lt;$H49)),(INDEX(summary!$A$2:$D$24,MATCH($D49,summary!$A$2:$A$24,0),MATCH($D48,summary!$A$2:$D$2,0)))/Constructiontime)*($D62*((1+Inflation)^(H$2-1)))*(1+Developerfee)</f>
        <v>0</v>
      </c>
      <c r="I62" s="126">
        <f>-IF(OR(I$2=$H48,I$2=$H49,AND(I$2&gt;$H48,I$2&lt;$H49)),(INDEX(summary!$A$2:$D$24,MATCH($D49,summary!$A$2:$A$24,0),MATCH($D48,summary!$A$2:$D$2,0)))/Constructiontime)*($D62*((1+Inflation)^(I$2-1)))*(1+Developerfee)</f>
        <v>0</v>
      </c>
      <c r="J62" s="126">
        <f>-IF(OR(J$2=$H48,J$2=$H49,AND(J$2&gt;$H48,J$2&lt;$H49)),(INDEX(summary!$A$2:$D$24,MATCH($D49,summary!$A$2:$A$24,0),MATCH($D48,summary!$A$2:$D$2,0)))/Constructiontime)*($D62*((1+Inflation)^(J$2-1)))*(1+Developerfee)</f>
        <v>0</v>
      </c>
      <c r="K62" s="126">
        <f>-IF(OR(K$2=$H48,K$2=$H49,AND(K$2&gt;$H48,K$2&lt;$H49)),(INDEX(summary!$A$2:$D$24,MATCH($D49,summary!$A$2:$A$24,0),MATCH($D48,summary!$A$2:$D$2,0)))/Constructiontime)*($D62*((1+Inflation)^(K$2-1)))*(1+Developerfee)</f>
        <v>0</v>
      </c>
      <c r="L62" s="126">
        <f>-IF(OR(L$2=$H48,L$2=$H49,AND(L$2&gt;$H48,L$2&lt;$H49)),(INDEX(summary!$A$2:$D$24,MATCH($D49,summary!$A$2:$A$24,0),MATCH($D48,summary!$A$2:$D$2,0)))/Constructiontime)*($D62*((1+Inflation)^(L$2-1)))*(1+Developerfee)</f>
        <v>0</v>
      </c>
      <c r="M62" s="126">
        <f>-IF(OR(M$2=$H48,M$2=$H49,AND(M$2&gt;$H48,M$2&lt;$H49)),(INDEX(summary!$A$2:$D$24,MATCH($D49,summary!$A$2:$A$24,0),MATCH($D48,summary!$A$2:$D$2,0)))/Constructiontime)*($D62*((1+Inflation)^(M$2-1)))*(1+Developerfee)</f>
        <v>0</v>
      </c>
      <c r="N62" s="126">
        <f>-IF(OR(N$2=$H48,N$2=$H49,AND(N$2&gt;$H48,N$2&lt;$H49)),(INDEX(summary!$A$2:$D$24,MATCH($D49,summary!$A$2:$A$24,0),MATCH($D48,summary!$A$2:$D$2,0)))/Constructiontime)*($D62*((1+Inflation)^(N$2-1)))*(1+Developerfee)</f>
        <v>0</v>
      </c>
      <c r="O62" s="126">
        <f>-IF(OR(O$2=$H48,O$2=$H49,AND(O$2&gt;$H48,O$2&lt;$H49)),(INDEX(summary!$A$2:$D$24,MATCH($D49,summary!$A$2:$A$24,0),MATCH($D48,summary!$A$2:$D$2,0)))/Constructiontime)*($D62*((1+Inflation)^(O$2-1)))*(1+Developerfee)</f>
        <v>0</v>
      </c>
    </row>
    <row r="63" spans="2:15" ht="9" customHeight="1">
      <c r="B63" s="127" t="s">
        <v>197</v>
      </c>
      <c r="C63" s="139"/>
      <c r="D63" s="123"/>
      <c r="E63" s="129">
        <f t="shared" ref="E63:O63" si="25">SUM(E62:E62)</f>
        <v>0</v>
      </c>
      <c r="F63" s="129">
        <f t="shared" si="25"/>
        <v>0</v>
      </c>
      <c r="G63" s="129">
        <f t="shared" si="25"/>
        <v>0</v>
      </c>
      <c r="H63" s="129">
        <f t="shared" si="25"/>
        <v>0</v>
      </c>
      <c r="I63" s="129">
        <f t="shared" si="25"/>
        <v>0</v>
      </c>
      <c r="J63" s="129">
        <f t="shared" si="25"/>
        <v>0</v>
      </c>
      <c r="K63" s="129">
        <f t="shared" si="25"/>
        <v>0</v>
      </c>
      <c r="L63" s="129">
        <f t="shared" si="25"/>
        <v>0</v>
      </c>
      <c r="M63" s="129">
        <f t="shared" si="25"/>
        <v>0</v>
      </c>
      <c r="N63" s="129">
        <f t="shared" si="25"/>
        <v>0</v>
      </c>
      <c r="O63" s="129">
        <f t="shared" si="25"/>
        <v>0</v>
      </c>
    </row>
    <row r="64" spans="2:15" ht="9" customHeight="1">
      <c r="B64" s="121"/>
      <c r="C64" s="139"/>
      <c r="D64" s="123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</row>
    <row r="65" spans="2:15" ht="9" customHeight="1">
      <c r="B65" s="127" t="s">
        <v>170</v>
      </c>
      <c r="C65" s="127"/>
      <c r="D65" s="130"/>
      <c r="E65" s="131">
        <f t="shared" ref="E65:O65" si="26">SUM(E57,E60,E63)</f>
        <v>0</v>
      </c>
      <c r="F65" s="131">
        <f t="shared" si="26"/>
        <v>0</v>
      </c>
      <c r="G65" s="131">
        <f t="shared" si="26"/>
        <v>0</v>
      </c>
      <c r="H65" s="131">
        <f t="shared" si="26"/>
        <v>0</v>
      </c>
      <c r="I65" s="131">
        <f t="shared" si="26"/>
        <v>0</v>
      </c>
      <c r="J65" s="131">
        <f t="shared" si="26"/>
        <v>0</v>
      </c>
      <c r="K65" s="131">
        <f t="shared" si="26"/>
        <v>0</v>
      </c>
      <c r="L65" s="131">
        <f t="shared" si="26"/>
        <v>0</v>
      </c>
      <c r="M65" s="131">
        <f t="shared" si="26"/>
        <v>0</v>
      </c>
      <c r="N65" s="131">
        <f t="shared" si="26"/>
        <v>0</v>
      </c>
      <c r="O65" s="131">
        <f t="shared" si="26"/>
        <v>0</v>
      </c>
    </row>
    <row r="66" spans="2:15" ht="9" customHeight="1">
      <c r="B66" s="127"/>
      <c r="C66" s="127"/>
      <c r="D66" s="132"/>
      <c r="E66" s="117"/>
      <c r="F66" s="117"/>
      <c r="G66" s="117"/>
      <c r="H66" s="133"/>
      <c r="I66" s="117"/>
      <c r="J66" s="117"/>
      <c r="K66" s="117"/>
      <c r="L66" s="117"/>
      <c r="M66" s="117"/>
      <c r="N66" s="117"/>
      <c r="O66" s="117"/>
    </row>
    <row r="67" spans="2:15" ht="9" customHeight="1">
      <c r="B67" s="143"/>
      <c r="C67" s="143"/>
      <c r="D67" s="232"/>
      <c r="E67" s="142"/>
      <c r="F67" s="142"/>
      <c r="G67" s="142"/>
      <c r="H67" s="233"/>
      <c r="I67" s="142"/>
      <c r="J67" s="142"/>
      <c r="K67" s="142"/>
      <c r="L67" s="142"/>
      <c r="M67" s="142"/>
      <c r="N67" s="142"/>
      <c r="O67" s="142"/>
    </row>
    <row r="68" spans="2:15" ht="9" customHeight="1">
      <c r="B68" s="143"/>
      <c r="C68" s="142"/>
      <c r="D68" s="142"/>
      <c r="E68" s="142"/>
      <c r="F68" s="142"/>
      <c r="G68" s="142"/>
      <c r="H68" s="231"/>
      <c r="I68" s="142"/>
      <c r="J68" s="142"/>
      <c r="K68" s="142"/>
      <c r="L68" s="142"/>
      <c r="M68" s="142"/>
      <c r="N68" s="142"/>
      <c r="O68" s="142"/>
    </row>
    <row r="69" spans="2:15" ht="9" customHeight="1">
      <c r="B69" s="143"/>
      <c r="C69" s="230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</row>
    <row r="70" spans="2:15" ht="9" customHeight="1">
      <c r="B70" s="235"/>
      <c r="C70" s="230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</row>
    <row r="71" spans="2:15" ht="9" customHeight="1"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</row>
    <row r="72" spans="2:15" ht="9" customHeight="1">
      <c r="B72" s="143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</row>
    <row r="73" spans="2:15" ht="9" customHeight="1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</row>
    <row r="74" spans="2:15" ht="9" customHeight="1">
      <c r="B74" s="142"/>
      <c r="C74" s="143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</row>
    <row r="75" spans="2:15" ht="9" customHeight="1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1BFC-BF5D-42F2-B73B-EAE510502581}">
  <sheetPr>
    <tabColor theme="9" tint="0.59999389629810485"/>
  </sheetPr>
  <dimension ref="B2:P82"/>
  <sheetViews>
    <sheetView showGridLines="0" topLeftCell="A11" zoomScale="70" zoomScaleNormal="70" workbookViewId="0">
      <selection activeCell="G15" sqref="G15"/>
    </sheetView>
    <sheetView topLeftCell="A24" zoomScale="70" zoomScaleNormal="70" workbookViewId="1">
      <selection activeCell="B35" sqref="B35"/>
    </sheetView>
  </sheetViews>
  <sheetFormatPr defaultRowHeight="9" customHeight="1"/>
  <cols>
    <col min="2" max="2" width="24.15625" bestFit="1" customWidth="1"/>
    <col min="3" max="3" width="1.15625" customWidth="1"/>
    <col min="5" max="5" width="9" bestFit="1" customWidth="1"/>
    <col min="6" max="7" width="11.47265625" bestFit="1" customWidth="1"/>
    <col min="8" max="8" width="10.3671875" bestFit="1" customWidth="1"/>
    <col min="9" max="14" width="11.1015625" bestFit="1" customWidth="1"/>
    <col min="15" max="15" width="11.734375" bestFit="1" customWidth="1"/>
  </cols>
  <sheetData>
    <row r="2" spans="2:16" ht="9" customHeight="1" thickBot="1">
      <c r="B2" s="150" t="s">
        <v>176</v>
      </c>
      <c r="C2" s="150"/>
      <c r="D2" s="151"/>
      <c r="E2" s="151">
        <v>0</v>
      </c>
      <c r="F2" s="151">
        <v>1</v>
      </c>
      <c r="G2" s="151">
        <v>2</v>
      </c>
      <c r="H2" s="151">
        <v>3</v>
      </c>
      <c r="I2" s="151">
        <v>4</v>
      </c>
      <c r="J2" s="151">
        <v>5</v>
      </c>
      <c r="K2" s="151">
        <v>6</v>
      </c>
      <c r="L2" s="151">
        <v>7</v>
      </c>
      <c r="M2" s="151">
        <v>8</v>
      </c>
      <c r="N2" s="151">
        <v>9</v>
      </c>
      <c r="O2" s="151">
        <v>10</v>
      </c>
    </row>
    <row r="3" spans="2:16" ht="9" customHeight="1" thickBot="1"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6" ht="9" customHeight="1">
      <c r="B4" s="144" t="s">
        <v>199</v>
      </c>
      <c r="C4" s="145"/>
      <c r="D4" s="145"/>
      <c r="E4" s="156"/>
      <c r="F4" s="157"/>
      <c r="G4" s="157"/>
      <c r="H4" s="157"/>
      <c r="I4" s="157"/>
      <c r="J4" s="157"/>
      <c r="K4" s="146"/>
      <c r="L4" s="119"/>
      <c r="M4" s="119"/>
      <c r="N4" s="119"/>
      <c r="O4" s="119"/>
    </row>
    <row r="5" spans="2:16" ht="9" customHeight="1">
      <c r="B5" s="147" t="s">
        <v>89</v>
      </c>
      <c r="C5" s="142"/>
      <c r="D5" s="155">
        <v>1</v>
      </c>
      <c r="E5" s="140"/>
      <c r="F5" s="140"/>
      <c r="G5" s="141" t="s">
        <v>205</v>
      </c>
      <c r="H5" s="161">
        <f>Phase1begin</f>
        <v>1</v>
      </c>
      <c r="I5" s="140"/>
      <c r="J5" s="141" t="s">
        <v>202</v>
      </c>
      <c r="K5" s="158">
        <v>0</v>
      </c>
      <c r="L5" s="117"/>
      <c r="M5" s="117"/>
      <c r="N5" s="117"/>
      <c r="O5" s="117"/>
    </row>
    <row r="6" spans="2:16" ht="9" customHeight="1">
      <c r="B6" s="147" t="s">
        <v>94</v>
      </c>
      <c r="C6" s="142"/>
      <c r="D6" s="152" t="s">
        <v>337</v>
      </c>
      <c r="E6" s="140"/>
      <c r="F6" s="140"/>
      <c r="G6" s="141" t="s">
        <v>206</v>
      </c>
      <c r="H6" s="161">
        <f>Phase1end</f>
        <v>2</v>
      </c>
      <c r="I6" s="140"/>
      <c r="J6" s="140"/>
      <c r="K6" s="148"/>
      <c r="L6" s="117"/>
      <c r="M6" s="117"/>
      <c r="N6" s="117"/>
      <c r="O6" s="117"/>
    </row>
    <row r="7" spans="2:16" ht="9" customHeight="1" thickBot="1">
      <c r="B7" s="159"/>
      <c r="C7" s="160"/>
      <c r="D7" s="160"/>
      <c r="E7" s="160"/>
      <c r="F7" s="160"/>
      <c r="G7" s="150" t="s">
        <v>200</v>
      </c>
      <c r="H7" s="153">
        <f>Phase1open</f>
        <v>3</v>
      </c>
      <c r="I7" s="160"/>
      <c r="J7" s="160"/>
      <c r="K7" s="149"/>
      <c r="L7" s="117"/>
      <c r="M7" s="117"/>
      <c r="N7" s="117"/>
      <c r="O7" s="117"/>
    </row>
    <row r="8" spans="2:16" ht="9" customHeight="1">
      <c r="B8" s="117"/>
      <c r="C8" s="136"/>
      <c r="D8" s="120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2:16" ht="9" customHeight="1">
      <c r="B9" s="121" t="s">
        <v>183</v>
      </c>
      <c r="C9" s="121"/>
      <c r="D9" s="117"/>
      <c r="E9" s="122">
        <f>IF(OR(E$2=$H7,E$2&gt;$H7),INDEX(summary!$A$2:$D$24,MATCH($D6,summary!$A$2:$A$24,0),MATCH($D5,summary!$A$2:$D$2,0)),0)</f>
        <v>0</v>
      </c>
      <c r="F9" s="122">
        <f>IF(OR(F$2=$H7,F$2&gt;$H7),INDEX(summary!$A$2:$D$24,MATCH($D6,summary!$A$2:$A$24,0),MATCH($D5,summary!$A$2:$D$2,0)),0)</f>
        <v>0</v>
      </c>
      <c r="G9" s="122">
        <f>IF(OR(G$2=$H7,G$2&gt;$H7),INDEX(summary!$A$2:$D$24,MATCH($D6,summary!$A$2:$A$24,0),MATCH($D5,summary!$A$2:$D$2,0)),0)</f>
        <v>0</v>
      </c>
      <c r="H9" s="122">
        <f>IF(OR(H$2=$H7,H$2&gt;$H7),INDEX(summary!$A$2:$D$24,MATCH($D6,summary!$A$2:$A$24,0),MATCH($D5,summary!$A$2:$D$2,0)),0)</f>
        <v>0</v>
      </c>
      <c r="I9" s="122">
        <f>IF(OR(I$2=$H7,I$2&gt;$H7),INDEX(summary!$A$2:$D$24,MATCH($D6,summary!$A$2:$A$24,0),MATCH($D5,summary!$A$2:$D$2,0)),0)</f>
        <v>0</v>
      </c>
      <c r="J9" s="122">
        <f>IF(OR(J$2=$H7,J$2&gt;$H7),INDEX(summary!$A$2:$D$24,MATCH($D6,summary!$A$2:$A$24,0),MATCH($D5,summary!$A$2:$D$2,0)),0)</f>
        <v>0</v>
      </c>
      <c r="K9" s="122">
        <f>IF(OR(K$2=$H7,K$2&gt;$H7),INDEX(summary!$A$2:$D$24,MATCH($D6,summary!$A$2:$A$24,0),MATCH($D5,summary!$A$2:$D$2,0)),0)</f>
        <v>0</v>
      </c>
      <c r="L9" s="122">
        <f>IF(OR(L$2=$H7,L$2&gt;$H7),INDEX(summary!$A$2:$D$24,MATCH($D6,summary!$A$2:$A$24,0),MATCH($D5,summary!$A$2:$D$2,0)),0)</f>
        <v>0</v>
      </c>
      <c r="M9" s="122">
        <f>IF(OR(M$2=$H7,M$2&gt;$H7),INDEX(summary!$A$2:$D$24,MATCH($D6,summary!$A$2:$A$24,0),MATCH($D5,summary!$A$2:$D$2,0)),0)</f>
        <v>0</v>
      </c>
      <c r="N9" s="122">
        <f>IF(OR(N$2=$H7,N$2&gt;$H7),INDEX(summary!$A$2:$D$24,MATCH($D6,summary!$A$2:$A$24,0),MATCH($D5,summary!$A$2:$D$2,0)),0)</f>
        <v>0</v>
      </c>
      <c r="O9" s="122">
        <f>IF(OR(O$2=$H7,O$2&gt;$H7),INDEX(summary!$A$2:$D$24,MATCH($D6,summary!$A$2:$A$24,0),MATCH($D5,summary!$A$2:$D$2,0)),0)</f>
        <v>0</v>
      </c>
    </row>
    <row r="10" spans="2:16" ht="9" customHeight="1">
      <c r="B10" s="121" t="s">
        <v>406</v>
      </c>
      <c r="C10" s="121"/>
      <c r="D10" s="117"/>
      <c r="E10" s="122">
        <f t="shared" ref="E10:O10" si="0">E9*(1-$D11)/parkingaveragespacesize</f>
        <v>0</v>
      </c>
      <c r="F10" s="122">
        <f t="shared" si="0"/>
        <v>0</v>
      </c>
      <c r="G10" s="122">
        <f t="shared" si="0"/>
        <v>0</v>
      </c>
      <c r="H10" s="122">
        <f t="shared" si="0"/>
        <v>0</v>
      </c>
      <c r="I10" s="122">
        <f t="shared" si="0"/>
        <v>0</v>
      </c>
      <c r="J10" s="122">
        <f t="shared" si="0"/>
        <v>0</v>
      </c>
      <c r="K10" s="122">
        <f t="shared" si="0"/>
        <v>0</v>
      </c>
      <c r="L10" s="122">
        <f t="shared" si="0"/>
        <v>0</v>
      </c>
      <c r="M10" s="122">
        <f t="shared" si="0"/>
        <v>0</v>
      </c>
      <c r="N10" s="122">
        <f t="shared" si="0"/>
        <v>0</v>
      </c>
      <c r="O10" s="122">
        <f t="shared" si="0"/>
        <v>0</v>
      </c>
    </row>
    <row r="11" spans="2:16" ht="9" customHeight="1">
      <c r="B11" s="121" t="s">
        <v>195</v>
      </c>
      <c r="C11" s="137" t="s">
        <v>192</v>
      </c>
      <c r="D11" s="123">
        <f>INDEX(cockpit!$J$6:$X$16,MATCH($D6,cockpit!$J$6:$J$16,0),MATCH($C$11,cockpit!$J$6:$X$6,0))</f>
        <v>0.4</v>
      </c>
      <c r="E11" s="122">
        <f t="shared" ref="E11:O11" si="1">E9*(1-$D11)</f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</row>
    <row r="12" spans="2:16" ht="9" customHeight="1">
      <c r="B12" s="121" t="s">
        <v>181</v>
      </c>
      <c r="C12" s="137" t="s">
        <v>153</v>
      </c>
      <c r="D12" s="138">
        <f>parkingrampup</f>
        <v>0.47499999999999998</v>
      </c>
      <c r="E12" s="122">
        <f>(IF(OR(E$2=$H7,AND(E$2&gt;$H7,E$2&lt;(SUM($H7,INDEX(cockpit!$J$6:$X$16,MATCH($D6,cockpit!$J$6:$J$16,0),MATCH($C$12,cockpit!$J$6:$X$6,0)))))),E11*$D12,0))/parkingaveragespacesize</f>
        <v>0</v>
      </c>
      <c r="F12" s="122">
        <f>(IF(OR(F$2=$H7,AND(F$2&gt;$H7,F$2&lt;(SUM($H7,INDEX(cockpit!$J$6:$X$16,MATCH($D6,cockpit!$J$6:$J$16,0),MATCH($C$12,cockpit!$J$6:$X$6,0)))))),F11*$D12,0))/parkingaveragespacesize</f>
        <v>0</v>
      </c>
      <c r="G12" s="122">
        <f>(IF(OR(G$2=$H7,AND(G$2&gt;$H7,G$2&lt;(SUM($H7,INDEX(cockpit!$J$6:$X$16,MATCH($D6,cockpit!$J$6:$J$16,0),MATCH($C$12,cockpit!$J$6:$X$6,0)))))),G11*$D12,0))/parkingaveragespacesize</f>
        <v>0</v>
      </c>
      <c r="H12" s="122">
        <f>(IF(OR(H$2=$H7,AND(H$2&gt;$H7,H$2&lt;(SUM($H7,INDEX(cockpit!$J$6:$X$16,MATCH($D6,cockpit!$J$6:$J$16,0),MATCH($C$12,cockpit!$J$6:$X$6,0)))))),H11*$D12,0))/parkingaveragespacesize</f>
        <v>0</v>
      </c>
      <c r="I12" s="122">
        <f>(IF(OR(I$2=$H7,AND(I$2&gt;$H7,I$2&lt;(SUM($H7,INDEX(cockpit!$J$6:$X$16,MATCH($D6,cockpit!$J$6:$J$16,0),MATCH($C$12,cockpit!$J$6:$X$6,0)))))),I11*$D12,0))/parkingaveragespacesize</f>
        <v>0</v>
      </c>
      <c r="J12" s="122">
        <f>(IF(OR(J$2=$H7,AND(J$2&gt;$H7,J$2&lt;(SUM($H7,INDEX(cockpit!$J$6:$X$16,MATCH($D6,cockpit!$J$6:$J$16,0),MATCH($C$12,cockpit!$J$6:$X$6,0)))))),J11*$D12,0))/parkingaveragespacesize</f>
        <v>0</v>
      </c>
      <c r="K12" s="122">
        <f>(IF(OR(K$2=$H7,AND(K$2&gt;$H7,K$2&lt;(SUM($H7,INDEX(cockpit!$J$6:$X$16,MATCH($D6,cockpit!$J$6:$J$16,0),MATCH($C$12,cockpit!$J$6:$X$6,0)))))),K11*$D12,0))/parkingaveragespacesize</f>
        <v>0</v>
      </c>
      <c r="L12" s="122">
        <f>(IF(OR(L$2=$H7,AND(L$2&gt;$H7,L$2&lt;(SUM($H7,INDEX(cockpit!$J$6:$X$16,MATCH($D6,cockpit!$J$6:$J$16,0),MATCH($C$12,cockpit!$J$6:$X$6,0)))))),L11*$D12,0))/parkingaveragespacesize</f>
        <v>0</v>
      </c>
      <c r="M12" s="122">
        <f>(IF(OR(M$2=$H7,AND(M$2&gt;$H7,M$2&lt;(SUM($H7,INDEX(cockpit!$J$6:$X$16,MATCH($D6,cockpit!$J$6:$J$16,0),MATCH($C$12,cockpit!$J$6:$X$6,0)))))),M11*$D12,0))/parkingaveragespacesize</f>
        <v>0</v>
      </c>
      <c r="N12" s="122">
        <f>(IF(OR(N$2=$H7,AND(N$2&gt;$H7,N$2&lt;(SUM($H7,INDEX(cockpit!$J$6:$X$16,MATCH($D6,cockpit!$J$6:$J$16,0),MATCH($C$12,cockpit!$J$6:$X$6,0)))))),N11*$D12,0))/parkingaveragespacesize</f>
        <v>0</v>
      </c>
      <c r="O12" s="122">
        <f>(IF(OR(O$2=$H7,AND(O$2&gt;$H7,O$2&lt;(SUM($H7,INDEX(cockpit!$J$6:$X$16,MATCH($D6,cockpit!$J$6:$J$16,0),MATCH($C$12,cockpit!$J$6:$X$6,0)))))),O11*$D12,0))/parkingaveragespacesize</f>
        <v>0</v>
      </c>
    </row>
    <row r="13" spans="2:16" ht="9" customHeight="1">
      <c r="B13" s="121" t="s">
        <v>404</v>
      </c>
      <c r="C13" s="139"/>
      <c r="D13" s="352">
        <f>parkingaveragespacesize</f>
        <v>200</v>
      </c>
      <c r="E13" s="122">
        <f>SUM($E12:E12)</f>
        <v>0</v>
      </c>
      <c r="F13" s="122">
        <f>SUM($E12:F12)</f>
        <v>0</v>
      </c>
      <c r="G13" s="122">
        <f>SUM($E12:G12)</f>
        <v>0</v>
      </c>
      <c r="H13" s="122">
        <f>SUM($E12:H12)</f>
        <v>0</v>
      </c>
      <c r="I13" s="122">
        <f>SUM($E12:I12)</f>
        <v>0</v>
      </c>
      <c r="J13" s="122">
        <f>SUM($E12:J12)</f>
        <v>0</v>
      </c>
      <c r="K13" s="122">
        <f>SUM($E12:K12)</f>
        <v>0</v>
      </c>
      <c r="L13" s="122">
        <f>SUM($E12:L12)</f>
        <v>0</v>
      </c>
      <c r="M13" s="122">
        <f>SUM($E12:M12)</f>
        <v>0</v>
      </c>
      <c r="N13" s="122">
        <f>SUM($E12:N12)</f>
        <v>0</v>
      </c>
      <c r="O13" s="122">
        <f>SUM($E12:O12)</f>
        <v>0</v>
      </c>
    </row>
    <row r="14" spans="2:16" ht="9" customHeight="1">
      <c r="B14" s="117"/>
      <c r="C14" s="139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2:16" ht="9" customHeight="1">
      <c r="B15" s="121" t="s">
        <v>167</v>
      </c>
      <c r="C15" s="139"/>
      <c r="D15" s="124">
        <f>parkingrevenueperspacepermonth</f>
        <v>324</v>
      </c>
      <c r="E15" s="125">
        <f t="shared" ref="E15:O15" si="2">(E13*12)*($D15*((1+Inflation)^(E$2-1)))</f>
        <v>0</v>
      </c>
      <c r="F15" s="125">
        <f t="shared" si="2"/>
        <v>0</v>
      </c>
      <c r="G15" s="125">
        <f t="shared" si="2"/>
        <v>0</v>
      </c>
      <c r="H15" s="125">
        <f t="shared" si="2"/>
        <v>0</v>
      </c>
      <c r="I15" s="125">
        <f t="shared" si="2"/>
        <v>0</v>
      </c>
      <c r="J15" s="125">
        <f t="shared" si="2"/>
        <v>0</v>
      </c>
      <c r="K15" s="125">
        <f t="shared" si="2"/>
        <v>0</v>
      </c>
      <c r="L15" s="125">
        <f t="shared" si="2"/>
        <v>0</v>
      </c>
      <c r="M15" s="125">
        <f t="shared" si="2"/>
        <v>0</v>
      </c>
      <c r="N15" s="125">
        <f t="shared" si="2"/>
        <v>0</v>
      </c>
      <c r="O15" s="125">
        <f t="shared" si="2"/>
        <v>0</v>
      </c>
    </row>
    <row r="16" spans="2:16" ht="9" customHeight="1">
      <c r="B16" s="134" t="s">
        <v>218</v>
      </c>
      <c r="C16" s="139"/>
      <c r="D16" s="124">
        <f>IF(INDEX(cockpit!$J$6:$X$16,MATCH($D6,cockpit!$J$6:$J$16,0),MATCH($B16,cockpit!$J$6:$X$6,0))="Y",D17,0)</f>
        <v>0</v>
      </c>
      <c r="E16" s="125">
        <f>-IF($D16&gt;0,E17,0)</f>
        <v>0</v>
      </c>
      <c r="F16" s="125">
        <f t="shared" ref="F16" si="3">-IF($D16&gt;0,F17,0)</f>
        <v>0</v>
      </c>
      <c r="G16" s="125">
        <f t="shared" ref="G16" si="4">-IF($D16&gt;0,G17,0)</f>
        <v>0</v>
      </c>
      <c r="H16" s="125">
        <f t="shared" ref="H16" si="5">-IF($D16&gt;0,H17,0)</f>
        <v>0</v>
      </c>
      <c r="I16" s="125">
        <f t="shared" ref="I16" si="6">-IF($D16&gt;0,I17,0)</f>
        <v>0</v>
      </c>
      <c r="J16" s="125">
        <f t="shared" ref="J16" si="7">-IF($D16&gt;0,J17,0)</f>
        <v>0</v>
      </c>
      <c r="K16" s="125">
        <f t="shared" ref="K16" si="8">-IF($D16&gt;0,K17,0)</f>
        <v>0</v>
      </c>
      <c r="L16" s="125">
        <f t="shared" ref="L16" si="9">-IF($D16&gt;0,L17,0)</f>
        <v>0</v>
      </c>
      <c r="M16" s="125">
        <f t="shared" ref="M16" si="10">-IF($D16&gt;0,M17,0)</f>
        <v>0</v>
      </c>
      <c r="N16" s="125">
        <f t="shared" ref="N16" si="11">-IF($D16&gt;0,N17,0)</f>
        <v>0</v>
      </c>
      <c r="O16" s="125">
        <f t="shared" ref="O16" si="12">-IF($D16&gt;0,O17,0)</f>
        <v>0</v>
      </c>
      <c r="P16" s="125"/>
    </row>
    <row r="17" spans="2:15" ht="9" customHeight="1">
      <c r="B17" s="121" t="s">
        <v>124</v>
      </c>
      <c r="C17" s="139"/>
      <c r="D17" s="138">
        <f>INDEX(cockpit!$J$6:$X$16,MATCH($D6,cockpit!$J$6:$J$16,0),MATCH($B17,cockpit!$J$6:$X$6,0))</f>
        <v>0.25</v>
      </c>
      <c r="E17" s="126">
        <f t="shared" ref="E17:O17" si="13">-IF($D17&gt;1,E9*($D17*((1+Inflation)^(E$2-1))),E15*(1-$D17))</f>
        <v>0</v>
      </c>
      <c r="F17" s="126">
        <f t="shared" si="13"/>
        <v>0</v>
      </c>
      <c r="G17" s="126">
        <f t="shared" si="13"/>
        <v>0</v>
      </c>
      <c r="H17" s="126">
        <f t="shared" si="13"/>
        <v>0</v>
      </c>
      <c r="I17" s="126">
        <f t="shared" si="13"/>
        <v>0</v>
      </c>
      <c r="J17" s="126">
        <f t="shared" si="13"/>
        <v>0</v>
      </c>
      <c r="K17" s="126">
        <f t="shared" si="13"/>
        <v>0</v>
      </c>
      <c r="L17" s="126">
        <f t="shared" si="13"/>
        <v>0</v>
      </c>
      <c r="M17" s="126">
        <f t="shared" si="13"/>
        <v>0</v>
      </c>
      <c r="N17" s="126">
        <f t="shared" si="13"/>
        <v>0</v>
      </c>
      <c r="O17" s="126">
        <f t="shared" si="13"/>
        <v>0</v>
      </c>
    </row>
    <row r="18" spans="2:15" ht="9" customHeight="1">
      <c r="B18" s="127" t="s">
        <v>168</v>
      </c>
      <c r="C18" s="139"/>
      <c r="D18" s="117"/>
      <c r="E18" s="125">
        <f>SUM(E15:E17)</f>
        <v>0</v>
      </c>
      <c r="F18" s="125">
        <f t="shared" ref="F18:O18" si="14">SUM(F15:F17)</f>
        <v>0</v>
      </c>
      <c r="G18" s="125">
        <f t="shared" si="14"/>
        <v>0</v>
      </c>
      <c r="H18" s="125">
        <f t="shared" si="14"/>
        <v>0</v>
      </c>
      <c r="I18" s="125">
        <f t="shared" si="14"/>
        <v>0</v>
      </c>
      <c r="J18" s="125">
        <f t="shared" si="14"/>
        <v>0</v>
      </c>
      <c r="K18" s="125">
        <f t="shared" si="14"/>
        <v>0</v>
      </c>
      <c r="L18" s="125">
        <f t="shared" si="14"/>
        <v>0</v>
      </c>
      <c r="M18" s="125">
        <f t="shared" si="14"/>
        <v>0</v>
      </c>
      <c r="N18" s="125">
        <f t="shared" si="14"/>
        <v>0</v>
      </c>
      <c r="O18" s="125">
        <f t="shared" si="14"/>
        <v>0</v>
      </c>
    </row>
    <row r="19" spans="2:15" ht="9" customHeight="1">
      <c r="B19" s="117"/>
      <c r="C19" s="139"/>
      <c r="D19" s="117"/>
      <c r="E19" s="217">
        <f t="shared" ref="E19:O19" si="15">IFERROR(E18/SUM(E15:E16),0)</f>
        <v>0</v>
      </c>
      <c r="F19" s="217">
        <f t="shared" si="15"/>
        <v>0</v>
      </c>
      <c r="G19" s="217">
        <f t="shared" si="15"/>
        <v>0</v>
      </c>
      <c r="H19" s="217">
        <f t="shared" si="15"/>
        <v>0</v>
      </c>
      <c r="I19" s="217">
        <f t="shared" si="15"/>
        <v>0</v>
      </c>
      <c r="J19" s="217">
        <f t="shared" si="15"/>
        <v>0</v>
      </c>
      <c r="K19" s="217">
        <f t="shared" si="15"/>
        <v>0</v>
      </c>
      <c r="L19" s="217">
        <f t="shared" si="15"/>
        <v>0</v>
      </c>
      <c r="M19" s="217">
        <f t="shared" si="15"/>
        <v>0</v>
      </c>
      <c r="N19" s="217">
        <f t="shared" si="15"/>
        <v>0</v>
      </c>
      <c r="O19" s="217">
        <f t="shared" si="15"/>
        <v>0</v>
      </c>
    </row>
    <row r="20" spans="2:15" ht="9" customHeight="1">
      <c r="B20" s="121" t="s">
        <v>169</v>
      </c>
      <c r="C20" s="139"/>
      <c r="D20" s="128">
        <f>INDEX(cockpit!$J$6:$X$16,MATCH($D6,cockpit!$J$6:$J$16,0),MATCH($B20,cockpit!$J$6:$X$6,0))</f>
        <v>2.5000000000000001E-2</v>
      </c>
      <c r="E20" s="125">
        <f>-E11*$D20</f>
        <v>0</v>
      </c>
      <c r="F20" s="125">
        <f t="shared" ref="F20:O20" si="16">-F11*$D20</f>
        <v>0</v>
      </c>
      <c r="G20" s="125">
        <f t="shared" si="16"/>
        <v>0</v>
      </c>
      <c r="H20" s="125">
        <f t="shared" si="16"/>
        <v>0</v>
      </c>
      <c r="I20" s="125">
        <f t="shared" si="16"/>
        <v>0</v>
      </c>
      <c r="J20" s="125">
        <f t="shared" si="16"/>
        <v>0</v>
      </c>
      <c r="K20" s="125">
        <f t="shared" si="16"/>
        <v>0</v>
      </c>
      <c r="L20" s="125">
        <f t="shared" si="16"/>
        <v>0</v>
      </c>
      <c r="M20" s="125">
        <f t="shared" si="16"/>
        <v>0</v>
      </c>
      <c r="N20" s="125">
        <f t="shared" si="16"/>
        <v>0</v>
      </c>
      <c r="O20" s="125">
        <f t="shared" si="16"/>
        <v>0</v>
      </c>
    </row>
    <row r="21" spans="2:15" ht="9" customHeight="1">
      <c r="B21" s="121" t="s">
        <v>163</v>
      </c>
      <c r="C21" s="139"/>
      <c r="D21" s="128">
        <f>INDEX(cockpit!$J$6:$X$16,MATCH($D6,cockpit!$J$6:$J$16,0),MATCH($B21,cockpit!$J$6:$X$6,0))</f>
        <v>0</v>
      </c>
      <c r="E21" s="126">
        <f>-E13*$D21</f>
        <v>0</v>
      </c>
      <c r="F21" s="126">
        <f t="shared" ref="F21:O21" si="17">-F13*$D21</f>
        <v>0</v>
      </c>
      <c r="G21" s="126">
        <f t="shared" si="17"/>
        <v>0</v>
      </c>
      <c r="H21" s="126">
        <f t="shared" si="17"/>
        <v>0</v>
      </c>
      <c r="I21" s="126">
        <f t="shared" si="17"/>
        <v>0</v>
      </c>
      <c r="J21" s="126">
        <f t="shared" si="17"/>
        <v>0</v>
      </c>
      <c r="K21" s="126">
        <f t="shared" si="17"/>
        <v>0</v>
      </c>
      <c r="L21" s="126">
        <f t="shared" si="17"/>
        <v>0</v>
      </c>
      <c r="M21" s="126">
        <f t="shared" si="17"/>
        <v>0</v>
      </c>
      <c r="N21" s="126">
        <f t="shared" si="17"/>
        <v>0</v>
      </c>
      <c r="O21" s="126">
        <f t="shared" si="17"/>
        <v>0</v>
      </c>
    </row>
    <row r="22" spans="2:15" ht="9" customHeight="1">
      <c r="B22" s="127" t="s">
        <v>196</v>
      </c>
      <c r="C22" s="139"/>
      <c r="D22" s="128"/>
      <c r="E22" s="129">
        <f>SUM(E20:E21)</f>
        <v>0</v>
      </c>
      <c r="F22" s="129">
        <f t="shared" ref="F22:O22" si="18">SUM(F20:F21)</f>
        <v>0</v>
      </c>
      <c r="G22" s="129">
        <f t="shared" si="18"/>
        <v>0</v>
      </c>
      <c r="H22" s="129">
        <f t="shared" si="18"/>
        <v>0</v>
      </c>
      <c r="I22" s="129">
        <f t="shared" si="18"/>
        <v>0</v>
      </c>
      <c r="J22" s="129">
        <f t="shared" si="18"/>
        <v>0</v>
      </c>
      <c r="K22" s="129">
        <f t="shared" si="18"/>
        <v>0</v>
      </c>
      <c r="L22" s="129">
        <f t="shared" si="18"/>
        <v>0</v>
      </c>
      <c r="M22" s="129">
        <f t="shared" si="18"/>
        <v>0</v>
      </c>
      <c r="N22" s="129">
        <f t="shared" si="18"/>
        <v>0</v>
      </c>
      <c r="O22" s="129">
        <f t="shared" si="18"/>
        <v>0</v>
      </c>
    </row>
    <row r="23" spans="2:15" ht="9" customHeight="1">
      <c r="B23" s="121"/>
      <c r="C23" s="139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2:15" ht="9" customHeight="1">
      <c r="B24" s="121" t="s">
        <v>171</v>
      </c>
      <c r="C24" s="139"/>
      <c r="D24" s="124">
        <f>(parkingconstructioncostPSF*(1-$K5))+((parkingconstructioncostPSF*(1+premiumprices)*$K5))</f>
        <v>50</v>
      </c>
      <c r="E24" s="125">
        <f>-IF(OR(E$2=$H5,E$2=$H6,AND(E$2&gt;$H5,E$2&lt;$H6)),(INDEX(summary!$A$2:$D$24,MATCH($D6,summary!$A$2:$A$24,0),MATCH($D5,summary!$A$2:$D$2,0)))/Constructiontime)*($D24*((1+Inflation)^(E$2-1)))*(1+Developerfee)</f>
        <v>0</v>
      </c>
      <c r="F24" s="125">
        <f>-IF(OR(F$2=$H5,F$2=$H6,AND(F$2&gt;$H5,F$2&lt;$H6)),(INDEX(summary!$A$2:$D$24,MATCH($D6,summary!$A$2:$A$24,0),MATCH($D5,summary!$A$2:$D$2,0)))/Constructiontime)*($D24*((1+Inflation)^(F$2-1)))*(1+Developerfee)</f>
        <v>0</v>
      </c>
      <c r="G24" s="125">
        <f>-IF(OR(G$2=$H5,G$2=$H6,AND(G$2&gt;$H5,G$2&lt;$H6)),(INDEX(summary!$A$2:$D$24,MATCH($D6,summary!$A$2:$A$24,0),MATCH($D5,summary!$A$2:$D$2,0)))/Constructiontime)*($D24*((1+Inflation)^(G$2-1)))*(1+Developerfee)</f>
        <v>0</v>
      </c>
      <c r="H24" s="125">
        <f>-IF(OR(H$2=$H5,H$2=$H6,AND(H$2&gt;$H5,H$2&lt;$H6)),(INDEX(summary!$A$2:$D$24,MATCH($D6,summary!$A$2:$A$24,0),MATCH($D5,summary!$A$2:$D$2,0)))/Constructiontime)*($D24*((1+Inflation)^(H$2-1)))*(1+Developerfee)</f>
        <v>0</v>
      </c>
      <c r="I24" s="125">
        <f>-IF(OR(I$2=$H5,I$2=$H6,AND(I$2&gt;$H5,I$2&lt;$H6)),(INDEX(summary!$A$2:$D$24,MATCH($D6,summary!$A$2:$A$24,0),MATCH($D5,summary!$A$2:$D$2,0)))/Constructiontime)*($D24*((1+Inflation)^(I$2-1)))*(1+Developerfee)</f>
        <v>0</v>
      </c>
      <c r="J24" s="125">
        <f>-IF(OR(J$2=$H5,J$2=$H6,AND(J$2&gt;$H5,J$2&lt;$H6)),(INDEX(summary!$A$2:$D$24,MATCH($D6,summary!$A$2:$A$24,0),MATCH($D5,summary!$A$2:$D$2,0)))/Constructiontime)*($D24*((1+Inflation)^(J$2-1)))*(1+Developerfee)</f>
        <v>0</v>
      </c>
      <c r="K24" s="125">
        <f>-IF(OR(K$2=$H5,K$2=$H6,AND(K$2&gt;$H5,K$2&lt;$H6)),(INDEX(summary!$A$2:$D$24,MATCH($D6,summary!$A$2:$A$24,0),MATCH($D5,summary!$A$2:$D$2,0)))/Constructiontime)*($D24*((1+Inflation)^(K$2-1)))*(1+Developerfee)</f>
        <v>0</v>
      </c>
      <c r="L24" s="125">
        <f>-IF(OR(L$2=$H5,L$2=$H6,AND(L$2&gt;$H5,L$2&lt;$H6)),(INDEX(summary!$A$2:$D$24,MATCH($D6,summary!$A$2:$A$24,0),MATCH($D5,summary!$A$2:$D$2,0)))/Constructiontime)*($D24*((1+Inflation)^(L$2-1)))*(1+Developerfee)</f>
        <v>0</v>
      </c>
      <c r="M24" s="125">
        <f>-IF(OR(M$2=$H5,M$2=$H6,AND(M$2&gt;$H5,M$2&lt;$H6)),(INDEX(summary!$A$2:$D$24,MATCH($D6,summary!$A$2:$A$24,0),MATCH($D5,summary!$A$2:$D$2,0)))/Constructiontime)*($D24*((1+Inflation)^(M$2-1)))*(1+Developerfee)</f>
        <v>0</v>
      </c>
      <c r="N24" s="125">
        <f>-IF(OR(N$2=$H5,N$2=$H6,AND(N$2&gt;$H5,N$2&lt;$H6)),(INDEX(summary!$A$2:$D$24,MATCH($D6,summary!$A$2:$A$24,0),MATCH($D5,summary!$A$2:$D$2,0)))/Constructiontime)*($D24*((1+Inflation)^(N$2-1)))*(1+Developerfee)</f>
        <v>0</v>
      </c>
      <c r="O24" s="125">
        <f>-IF(OR(O$2=$H5,O$2=$H6,AND(O$2&gt;$H5,O$2&lt;$H6)),(INDEX(summary!$A$2:$D$24,MATCH($D6,summary!$A$2:$A$24,0),MATCH($D5,summary!$A$2:$D$2,0)))/Constructiontime)*($D24*((1+Inflation)^(O$2-1)))*(1+Developerfee)</f>
        <v>0</v>
      </c>
    </row>
    <row r="25" spans="2:15" ht="9" customHeight="1">
      <c r="B25" s="121" t="s">
        <v>198</v>
      </c>
      <c r="C25" s="139" t="s">
        <v>190</v>
      </c>
      <c r="D25" s="138">
        <f>(INDEX(cockpit!$J$6:$X$16,MATCH($D6,cockpit!$J$6:$J$16,0),MATCH($C25,cockpit!$J$6:$X$6,0))*(1-$K5))+((INDEX(cockpit!$J$6:$X$16,MATCH($D6,cockpit!$J$6:$J$16,0),MATCH($C25,cockpit!$J$6:$X$6,0))-(Premiumexitcaprate))*$K5)</f>
        <v>0.1</v>
      </c>
      <c r="E25" s="126">
        <f t="shared" ref="E25:O25" si="19">IF(E$2=dispositionyear,E18/$D25,0)*(1-Closingcosts)</f>
        <v>0</v>
      </c>
      <c r="F25" s="126">
        <f t="shared" si="19"/>
        <v>0</v>
      </c>
      <c r="G25" s="126">
        <f t="shared" si="19"/>
        <v>0</v>
      </c>
      <c r="H25" s="126">
        <f t="shared" si="19"/>
        <v>0</v>
      </c>
      <c r="I25" s="126">
        <f t="shared" si="19"/>
        <v>0</v>
      </c>
      <c r="J25" s="126">
        <f t="shared" si="19"/>
        <v>0</v>
      </c>
      <c r="K25" s="126">
        <f t="shared" si="19"/>
        <v>0</v>
      </c>
      <c r="L25" s="126">
        <f t="shared" si="19"/>
        <v>0</v>
      </c>
      <c r="M25" s="126">
        <f t="shared" si="19"/>
        <v>0</v>
      </c>
      <c r="N25" s="126">
        <f t="shared" si="19"/>
        <v>0</v>
      </c>
      <c r="O25" s="126">
        <f t="shared" si="19"/>
        <v>0</v>
      </c>
    </row>
    <row r="26" spans="2:15" ht="9" customHeight="1">
      <c r="B26" s="127" t="s">
        <v>197</v>
      </c>
      <c r="C26" s="139"/>
      <c r="D26" s="123"/>
      <c r="E26" s="129">
        <f>SUM(E24:E25)</f>
        <v>0</v>
      </c>
      <c r="F26" s="129">
        <f t="shared" ref="F26:O26" si="20">SUM(F24:F25)</f>
        <v>0</v>
      </c>
      <c r="G26" s="129">
        <f t="shared" si="20"/>
        <v>0</v>
      </c>
      <c r="H26" s="129">
        <f t="shared" si="20"/>
        <v>0</v>
      </c>
      <c r="I26" s="129">
        <f t="shared" si="20"/>
        <v>0</v>
      </c>
      <c r="J26" s="129">
        <f t="shared" si="20"/>
        <v>0</v>
      </c>
      <c r="K26" s="129">
        <f t="shared" si="20"/>
        <v>0</v>
      </c>
      <c r="L26" s="129">
        <f t="shared" si="20"/>
        <v>0</v>
      </c>
      <c r="M26" s="129">
        <f t="shared" si="20"/>
        <v>0</v>
      </c>
      <c r="N26" s="129">
        <f t="shared" si="20"/>
        <v>0</v>
      </c>
      <c r="O26" s="129">
        <f t="shared" si="20"/>
        <v>0</v>
      </c>
    </row>
    <row r="27" spans="2:15" ht="9" customHeight="1">
      <c r="B27" s="121"/>
      <c r="C27" s="139"/>
      <c r="D27" s="123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2:15" ht="9" customHeight="1">
      <c r="B28" s="127" t="s">
        <v>170</v>
      </c>
      <c r="C28" s="127"/>
      <c r="D28" s="130" t="e">
        <f ca="1">IRR(OFFSET(E28,0,0,1,Investmenthorizon+1))</f>
        <v>#NUM!</v>
      </c>
      <c r="E28" s="131">
        <f>SUM(E18,E22,E26)</f>
        <v>0</v>
      </c>
      <c r="F28" s="131">
        <f t="shared" ref="F28:O28" si="21">SUM(F18,F22,F26)</f>
        <v>0</v>
      </c>
      <c r="G28" s="131">
        <f t="shared" si="21"/>
        <v>0</v>
      </c>
      <c r="H28" s="131">
        <f t="shared" si="21"/>
        <v>0</v>
      </c>
      <c r="I28" s="131">
        <f t="shared" si="21"/>
        <v>0</v>
      </c>
      <c r="J28" s="131">
        <f t="shared" si="21"/>
        <v>0</v>
      </c>
      <c r="K28" s="131">
        <f t="shared" si="21"/>
        <v>0</v>
      </c>
      <c r="L28" s="131">
        <f t="shared" si="21"/>
        <v>0</v>
      </c>
      <c r="M28" s="131">
        <f t="shared" si="21"/>
        <v>0</v>
      </c>
      <c r="N28" s="131">
        <f t="shared" si="21"/>
        <v>0</v>
      </c>
      <c r="O28" s="131">
        <f t="shared" si="21"/>
        <v>0</v>
      </c>
    </row>
    <row r="29" spans="2:15" ht="9" customHeight="1" thickBot="1">
      <c r="B29" s="127"/>
      <c r="C29" s="127"/>
      <c r="D29" s="132"/>
      <c r="E29" s="117"/>
      <c r="F29" s="117"/>
      <c r="G29" s="117"/>
      <c r="H29" s="133"/>
      <c r="I29" s="117"/>
      <c r="J29" s="117"/>
      <c r="K29" s="117"/>
      <c r="L29" s="117"/>
      <c r="M29" s="117"/>
      <c r="N29" s="117"/>
      <c r="O29" s="117"/>
    </row>
    <row r="30" spans="2:15" ht="9" customHeight="1">
      <c r="B30" s="144" t="s">
        <v>199</v>
      </c>
      <c r="C30" s="145"/>
      <c r="D30" s="145"/>
      <c r="E30" s="156"/>
      <c r="F30" s="157"/>
      <c r="G30" s="157"/>
      <c r="H30" s="157"/>
      <c r="I30" s="157"/>
      <c r="J30" s="157"/>
      <c r="K30" s="146"/>
      <c r="L30" s="119"/>
      <c r="M30" s="119"/>
      <c r="N30" s="119"/>
      <c r="O30" s="119"/>
    </row>
    <row r="31" spans="2:15" ht="9" customHeight="1">
      <c r="B31" s="147" t="s">
        <v>89</v>
      </c>
      <c r="C31" s="142"/>
      <c r="D31" s="155">
        <v>2</v>
      </c>
      <c r="E31" s="140"/>
      <c r="F31" s="140"/>
      <c r="G31" s="141" t="s">
        <v>205</v>
      </c>
      <c r="H31" s="161">
        <f>Phase2begin</f>
        <v>3</v>
      </c>
      <c r="I31" s="140"/>
      <c r="J31" s="141" t="s">
        <v>202</v>
      </c>
      <c r="K31" s="158">
        <v>0</v>
      </c>
      <c r="L31" s="117"/>
      <c r="M31" s="117"/>
      <c r="N31" s="117"/>
      <c r="O31" s="117"/>
    </row>
    <row r="32" spans="2:15" ht="9" customHeight="1">
      <c r="B32" s="147" t="s">
        <v>94</v>
      </c>
      <c r="C32" s="142"/>
      <c r="D32" s="152" t="s">
        <v>337</v>
      </c>
      <c r="E32" s="140"/>
      <c r="F32" s="140"/>
      <c r="G32" s="141" t="s">
        <v>206</v>
      </c>
      <c r="H32" s="161">
        <f>Phase2end</f>
        <v>4</v>
      </c>
      <c r="I32" s="140"/>
      <c r="J32" s="140"/>
      <c r="K32" s="148"/>
      <c r="L32" s="117"/>
      <c r="M32" s="117"/>
      <c r="N32" s="117"/>
      <c r="O32" s="117"/>
    </row>
    <row r="33" spans="2:16" ht="9" customHeight="1" thickBot="1">
      <c r="B33" s="159"/>
      <c r="C33" s="160"/>
      <c r="D33" s="160"/>
      <c r="E33" s="160"/>
      <c r="F33" s="160"/>
      <c r="G33" s="150" t="s">
        <v>200</v>
      </c>
      <c r="H33" s="153">
        <f>Phase2open</f>
        <v>5</v>
      </c>
      <c r="I33" s="160"/>
      <c r="J33" s="160"/>
      <c r="K33" s="149"/>
      <c r="L33" s="117"/>
      <c r="M33" s="117"/>
      <c r="N33" s="117"/>
      <c r="O33" s="117"/>
    </row>
    <row r="34" spans="2:16" ht="9" customHeight="1">
      <c r="B34" s="117"/>
      <c r="C34" s="136"/>
      <c r="D34" s="120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spans="2:16" ht="9" customHeight="1">
      <c r="B35" s="121" t="s">
        <v>183</v>
      </c>
      <c r="C35" s="121"/>
      <c r="D35" s="117"/>
      <c r="E35" s="122">
        <f>IF(OR(E$2=$H33,E$2&gt;$H33),INDEX(summary!$A$2:$D$24,MATCH($D32,summary!$A$2:$A$24,0),MATCH($D31,summary!$A$2:$D$2,0)),0)</f>
        <v>0</v>
      </c>
      <c r="F35" s="122">
        <f>IF(OR(F$2=$H33,F$2&gt;$H33),INDEX(summary!$A$2:$D$24,MATCH($D32,summary!$A$2:$A$24,0),MATCH($D31,summary!$A$2:$D$2,0)),0)</f>
        <v>0</v>
      </c>
      <c r="G35" s="122">
        <f>IF(OR(G$2=$H33,G$2&gt;$H33),INDEX(summary!$A$2:$D$24,MATCH($D32,summary!$A$2:$A$24,0),MATCH($D31,summary!$A$2:$D$2,0)),0)</f>
        <v>0</v>
      </c>
      <c r="H35" s="122">
        <f>IF(OR(H$2=$H33,H$2&gt;$H33),INDEX(summary!$A$2:$D$24,MATCH($D32,summary!$A$2:$A$24,0),MATCH($D31,summary!$A$2:$D$2,0)),0)</f>
        <v>0</v>
      </c>
      <c r="I35" s="122">
        <f>IF(OR(I$2=$H33,I$2&gt;$H33),INDEX(summary!$A$2:$D$24,MATCH($D32,summary!$A$2:$A$24,0),MATCH($D31,summary!$A$2:$D$2,0)),0)</f>
        <v>0</v>
      </c>
      <c r="J35" s="122">
        <f>IF(OR(J$2=$H33,J$2&gt;$H33),INDEX(summary!$A$2:$D$24,MATCH($D32,summary!$A$2:$A$24,0),MATCH($D31,summary!$A$2:$D$2,0)),0)</f>
        <v>67655.565900000001</v>
      </c>
      <c r="K35" s="122">
        <f>IF(OR(K$2=$H33,K$2&gt;$H33),INDEX(summary!$A$2:$D$24,MATCH($D32,summary!$A$2:$A$24,0),MATCH($D31,summary!$A$2:$D$2,0)),0)</f>
        <v>67655.565900000001</v>
      </c>
      <c r="L35" s="122">
        <f>IF(OR(L$2=$H33,L$2&gt;$H33),INDEX(summary!$A$2:$D$24,MATCH($D32,summary!$A$2:$A$24,0),MATCH($D31,summary!$A$2:$D$2,0)),0)</f>
        <v>67655.565900000001</v>
      </c>
      <c r="M35" s="122">
        <f>IF(OR(M$2=$H33,M$2&gt;$H33),INDEX(summary!$A$2:$D$24,MATCH($D32,summary!$A$2:$A$24,0),MATCH($D31,summary!$A$2:$D$2,0)),0)</f>
        <v>67655.565900000001</v>
      </c>
      <c r="N35" s="122">
        <f>IF(OR(N$2=$H33,N$2&gt;$H33),INDEX(summary!$A$2:$D$24,MATCH($D32,summary!$A$2:$A$24,0),MATCH($D31,summary!$A$2:$D$2,0)),0)</f>
        <v>67655.565900000001</v>
      </c>
      <c r="O35" s="122">
        <f>IF(OR(O$2=$H33,O$2&gt;$H33),INDEX(summary!$A$2:$D$24,MATCH($D32,summary!$A$2:$A$24,0),MATCH($D31,summary!$A$2:$D$2,0)),0)</f>
        <v>67655.565900000001</v>
      </c>
    </row>
    <row r="36" spans="2:16" ht="9" customHeight="1">
      <c r="B36" s="121" t="s">
        <v>406</v>
      </c>
      <c r="C36" s="121"/>
      <c r="D36" s="117"/>
      <c r="E36" s="122">
        <f t="shared" ref="E36:O36" si="22">E35*(1-$D37)/parkingaveragespacesize</f>
        <v>0</v>
      </c>
      <c r="F36" s="122">
        <f t="shared" si="22"/>
        <v>0</v>
      </c>
      <c r="G36" s="122">
        <f t="shared" si="22"/>
        <v>0</v>
      </c>
      <c r="H36" s="122">
        <f t="shared" si="22"/>
        <v>0</v>
      </c>
      <c r="I36" s="122">
        <f t="shared" si="22"/>
        <v>0</v>
      </c>
      <c r="J36" s="122">
        <f t="shared" si="22"/>
        <v>202.9666977</v>
      </c>
      <c r="K36" s="122">
        <f t="shared" si="22"/>
        <v>202.9666977</v>
      </c>
      <c r="L36" s="122">
        <f t="shared" si="22"/>
        <v>202.9666977</v>
      </c>
      <c r="M36" s="122">
        <f t="shared" si="22"/>
        <v>202.9666977</v>
      </c>
      <c r="N36" s="122">
        <f t="shared" si="22"/>
        <v>202.9666977</v>
      </c>
      <c r="O36" s="122">
        <f t="shared" si="22"/>
        <v>202.9666977</v>
      </c>
    </row>
    <row r="37" spans="2:16" s="356" customFormat="1" ht="9" customHeight="1">
      <c r="B37" s="121" t="s">
        <v>195</v>
      </c>
      <c r="C37" s="137" t="s">
        <v>192</v>
      </c>
      <c r="D37" s="123">
        <f>INDEX(cockpit!$J$6:$X$16,MATCH($D32,cockpit!$J$6:$J$16,0),MATCH($C$11,cockpit!$J$6:$X$6,0))</f>
        <v>0.4</v>
      </c>
      <c r="E37" s="122">
        <f t="shared" ref="E37:O37" si="23">E35*(1-$D37)</f>
        <v>0</v>
      </c>
      <c r="F37" s="122">
        <f t="shared" si="23"/>
        <v>0</v>
      </c>
      <c r="G37" s="122">
        <f t="shared" si="23"/>
        <v>0</v>
      </c>
      <c r="H37" s="122">
        <f t="shared" si="23"/>
        <v>0</v>
      </c>
      <c r="I37" s="122">
        <f t="shared" si="23"/>
        <v>0</v>
      </c>
      <c r="J37" s="122">
        <f t="shared" si="23"/>
        <v>40593.339540000001</v>
      </c>
      <c r="K37" s="122">
        <f t="shared" si="23"/>
        <v>40593.339540000001</v>
      </c>
      <c r="L37" s="122">
        <f t="shared" si="23"/>
        <v>40593.339540000001</v>
      </c>
      <c r="M37" s="122">
        <f t="shared" si="23"/>
        <v>40593.339540000001</v>
      </c>
      <c r="N37" s="122">
        <f t="shared" si="23"/>
        <v>40593.339540000001</v>
      </c>
      <c r="O37" s="122">
        <f t="shared" si="23"/>
        <v>40593.339540000001</v>
      </c>
      <c r="P37" s="355"/>
    </row>
    <row r="38" spans="2:16" ht="9" customHeight="1">
      <c r="B38" s="121" t="s">
        <v>181</v>
      </c>
      <c r="C38" s="137" t="s">
        <v>153</v>
      </c>
      <c r="D38" s="138">
        <f>parkingrampup</f>
        <v>0.47499999999999998</v>
      </c>
      <c r="E38" s="122">
        <f>(IF(OR(E$2=$H33,AND(E$2&gt;$H33,E$2&lt;(SUM($H33,INDEX(cockpit!$J$6:$X$16,MATCH($D32,cockpit!$J$6:$J$16,0),MATCH($C$12,cockpit!$J$6:$X$6,0)))))),E37*$D38,0))/parkingaveragespacesize</f>
        <v>0</v>
      </c>
      <c r="F38" s="122">
        <f>(IF(OR(F$2=$H33,AND(F$2&gt;$H33,F$2&lt;(SUM($H33,INDEX(cockpit!$J$6:$X$16,MATCH($D32,cockpit!$J$6:$J$16,0),MATCH($C$12,cockpit!$J$6:$X$6,0)))))),F37*$D38,0))/parkingaveragespacesize</f>
        <v>0</v>
      </c>
      <c r="G38" s="122">
        <f>(IF(OR(G$2=$H33,AND(G$2&gt;$H33,G$2&lt;(SUM($H33,INDEX(cockpit!$J$6:$X$16,MATCH($D32,cockpit!$J$6:$J$16,0),MATCH($C$12,cockpit!$J$6:$X$6,0)))))),G37*$D38,0))/parkingaveragespacesize</f>
        <v>0</v>
      </c>
      <c r="H38" s="122">
        <f>(IF(OR(H$2=$H33,AND(H$2&gt;$H33,H$2&lt;(SUM($H33,INDEX(cockpit!$J$6:$X$16,MATCH($D32,cockpit!$J$6:$J$16,0),MATCH($C$12,cockpit!$J$6:$X$6,0)))))),H37*$D38,0))/parkingaveragespacesize</f>
        <v>0</v>
      </c>
      <c r="I38" s="122">
        <f>(IF(OR(I$2=$H33,AND(I$2&gt;$H33,I$2&lt;(SUM($H33,INDEX(cockpit!$J$6:$X$16,MATCH($D32,cockpit!$J$6:$J$16,0),MATCH($C$12,cockpit!$J$6:$X$6,0)))))),I37*$D38,0))/parkingaveragespacesize</f>
        <v>0</v>
      </c>
      <c r="J38" s="122">
        <f>(IF(OR(J$2=$H33,AND(J$2&gt;$H33,J$2&lt;(SUM($H33,INDEX(cockpit!$J$6:$X$16,MATCH($D32,cockpit!$J$6:$J$16,0),MATCH($C$12,cockpit!$J$6:$X$6,0)))))),J37*$D38,0))/parkingaveragespacesize</f>
        <v>96.4091814075</v>
      </c>
      <c r="K38" s="122">
        <f>(IF(OR(K$2=$H33,AND(K$2&gt;$H33,K$2&lt;(SUM($H33,INDEX(cockpit!$J$6:$X$16,MATCH($D32,cockpit!$J$6:$J$16,0),MATCH($C$12,cockpit!$J$6:$X$6,0)))))),K37*$D38,0))/parkingaveragespacesize</f>
        <v>96.4091814075</v>
      </c>
      <c r="L38" s="122">
        <f>(IF(OR(L$2=$H33,AND(L$2&gt;$H33,L$2&lt;(SUM($H33,INDEX(cockpit!$J$6:$X$16,MATCH($D32,cockpit!$J$6:$J$16,0),MATCH($C$12,cockpit!$J$6:$X$6,0)))))),L37*$D38,0))/parkingaveragespacesize</f>
        <v>0</v>
      </c>
      <c r="M38" s="122">
        <f>(IF(OR(M$2=$H33,AND(M$2&gt;$H33,M$2&lt;(SUM($H33,INDEX(cockpit!$J$6:$X$16,MATCH($D32,cockpit!$J$6:$J$16,0),MATCH($C$12,cockpit!$J$6:$X$6,0)))))),M37*$D38,0))/parkingaveragespacesize</f>
        <v>0</v>
      </c>
      <c r="N38" s="122">
        <f>(IF(OR(N$2=$H33,AND(N$2&gt;$H33,N$2&lt;(SUM($H33,INDEX(cockpit!$J$6:$X$16,MATCH($D32,cockpit!$J$6:$J$16,0),MATCH($C$12,cockpit!$J$6:$X$6,0)))))),N37*$D38,0))/parkingaveragespacesize</f>
        <v>0</v>
      </c>
      <c r="O38" s="122">
        <f>(IF(OR(O$2=$H33,AND(O$2&gt;$H33,O$2&lt;(SUM($H33,INDEX(cockpit!$J$6:$X$16,MATCH($D32,cockpit!$J$6:$J$16,0),MATCH($C$12,cockpit!$J$6:$X$6,0)))))),O37*$D38,0))/parkingaveragespacesize</f>
        <v>0</v>
      </c>
    </row>
    <row r="39" spans="2:16" ht="9" customHeight="1">
      <c r="B39" s="121" t="s">
        <v>404</v>
      </c>
      <c r="C39" s="139"/>
      <c r="D39" s="352">
        <f>parkingaveragespacesize</f>
        <v>200</v>
      </c>
      <c r="E39" s="122">
        <f>SUM($E38:E38)</f>
        <v>0</v>
      </c>
      <c r="F39" s="122">
        <f>SUM($E38:F38)</f>
        <v>0</v>
      </c>
      <c r="G39" s="122">
        <f>SUM($E38:G38)</f>
        <v>0</v>
      </c>
      <c r="H39" s="122">
        <f>SUM($E38:H38)</f>
        <v>0</v>
      </c>
      <c r="I39" s="122">
        <f>SUM($E38:I38)</f>
        <v>0</v>
      </c>
      <c r="J39" s="122">
        <f>SUM($E38:J38)</f>
        <v>96.4091814075</v>
      </c>
      <c r="K39" s="122">
        <f>SUM($E38:K38)</f>
        <v>192.818362815</v>
      </c>
      <c r="L39" s="122">
        <f>SUM($E38:L38)</f>
        <v>192.818362815</v>
      </c>
      <c r="M39" s="122">
        <f>SUM($E38:M38)</f>
        <v>192.818362815</v>
      </c>
      <c r="N39" s="122">
        <f>SUM($E38:N38)</f>
        <v>192.818362815</v>
      </c>
      <c r="O39" s="122">
        <f>SUM($E38:O38)</f>
        <v>192.818362815</v>
      </c>
    </row>
    <row r="40" spans="2:16" ht="9" customHeight="1">
      <c r="B40" s="117"/>
      <c r="C40" s="139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</row>
    <row r="41" spans="2:16" ht="9" customHeight="1">
      <c r="B41" s="121" t="s">
        <v>167</v>
      </c>
      <c r="C41" s="139"/>
      <c r="D41" s="124">
        <f>parkingrevenueperspacepermonth</f>
        <v>324</v>
      </c>
      <c r="E41" s="125">
        <f t="shared" ref="E41:O41" si="24">(E39*12)*($D41*((1+Inflation)^(E$2-1)))</f>
        <v>0</v>
      </c>
      <c r="F41" s="125">
        <f t="shared" si="24"/>
        <v>0</v>
      </c>
      <c r="G41" s="125">
        <f t="shared" si="24"/>
        <v>0</v>
      </c>
      <c r="H41" s="125">
        <f t="shared" si="24"/>
        <v>0</v>
      </c>
      <c r="I41" s="125">
        <f t="shared" si="24"/>
        <v>0</v>
      </c>
      <c r="J41" s="125">
        <f t="shared" si="24"/>
        <v>405737.67726983607</v>
      </c>
      <c r="K41" s="125">
        <f t="shared" si="24"/>
        <v>827704.86163046549</v>
      </c>
      <c r="L41" s="125">
        <f t="shared" si="24"/>
        <v>844258.95886307477</v>
      </c>
      <c r="M41" s="125">
        <f t="shared" si="24"/>
        <v>861144.1380403362</v>
      </c>
      <c r="N41" s="125">
        <f t="shared" si="24"/>
        <v>878367.02080114302</v>
      </c>
      <c r="O41" s="125">
        <f t="shared" si="24"/>
        <v>895934.36121716583</v>
      </c>
    </row>
    <row r="42" spans="2:16" ht="9" customHeight="1">
      <c r="B42" s="134" t="s">
        <v>218</v>
      </c>
      <c r="C42" s="139"/>
      <c r="D42" s="124">
        <f>IF(INDEX(cockpit!$J$6:$X$16,MATCH($D32,cockpit!$J$6:$J$16,0),MATCH($B42,cockpit!$J$6:$X$6,0))="Y",D43,0)</f>
        <v>0</v>
      </c>
      <c r="E42" s="125">
        <f>-IF($D42&gt;0,E43,0)</f>
        <v>0</v>
      </c>
      <c r="F42" s="125">
        <f t="shared" ref="F42:O42" si="25">-IF($D42&gt;0,F43,0)</f>
        <v>0</v>
      </c>
      <c r="G42" s="125">
        <f t="shared" si="25"/>
        <v>0</v>
      </c>
      <c r="H42" s="125">
        <f t="shared" si="25"/>
        <v>0</v>
      </c>
      <c r="I42" s="125">
        <f t="shared" si="25"/>
        <v>0</v>
      </c>
      <c r="J42" s="125">
        <f t="shared" si="25"/>
        <v>0</v>
      </c>
      <c r="K42" s="125">
        <f t="shared" si="25"/>
        <v>0</v>
      </c>
      <c r="L42" s="125">
        <f t="shared" si="25"/>
        <v>0</v>
      </c>
      <c r="M42" s="125">
        <f t="shared" si="25"/>
        <v>0</v>
      </c>
      <c r="N42" s="125">
        <f t="shared" si="25"/>
        <v>0</v>
      </c>
      <c r="O42" s="125">
        <f t="shared" si="25"/>
        <v>0</v>
      </c>
    </row>
    <row r="43" spans="2:16" ht="9" customHeight="1">
      <c r="B43" s="121" t="s">
        <v>124</v>
      </c>
      <c r="C43" s="139"/>
      <c r="D43" s="138">
        <f>INDEX(cockpit!$J$6:$X$16,MATCH($D32,cockpit!$J$6:$J$16,0),MATCH($B43,cockpit!$J$6:$X$6,0))</f>
        <v>0.25</v>
      </c>
      <c r="E43" s="126">
        <f t="shared" ref="E43:O43" si="26">-IF($D43&gt;1,E35*($D43*((1+Inflation)^(E$2-1))),E41*(1-$D43))</f>
        <v>0</v>
      </c>
      <c r="F43" s="126">
        <f t="shared" si="26"/>
        <v>0</v>
      </c>
      <c r="G43" s="126">
        <f t="shared" si="26"/>
        <v>0</v>
      </c>
      <c r="H43" s="126">
        <f t="shared" si="26"/>
        <v>0</v>
      </c>
      <c r="I43" s="126">
        <f t="shared" si="26"/>
        <v>0</v>
      </c>
      <c r="J43" s="126">
        <f t="shared" si="26"/>
        <v>-304303.25795237708</v>
      </c>
      <c r="K43" s="126">
        <f t="shared" si="26"/>
        <v>-620778.64622284914</v>
      </c>
      <c r="L43" s="126">
        <f t="shared" si="26"/>
        <v>-633194.21914730605</v>
      </c>
      <c r="M43" s="126">
        <f t="shared" si="26"/>
        <v>-645858.10353025212</v>
      </c>
      <c r="N43" s="126">
        <f t="shared" si="26"/>
        <v>-658775.26560085732</v>
      </c>
      <c r="O43" s="126">
        <f t="shared" si="26"/>
        <v>-671950.77091287437</v>
      </c>
    </row>
    <row r="44" spans="2:16" ht="9" customHeight="1">
      <c r="B44" s="127" t="s">
        <v>168</v>
      </c>
      <c r="C44" s="139"/>
      <c r="D44" s="117"/>
      <c r="E44" s="125">
        <f>SUM(E41:E43)</f>
        <v>0</v>
      </c>
      <c r="F44" s="125">
        <f t="shared" ref="F44:O44" si="27">SUM(F41:F43)</f>
        <v>0</v>
      </c>
      <c r="G44" s="125">
        <f t="shared" si="27"/>
        <v>0</v>
      </c>
      <c r="H44" s="125">
        <f t="shared" si="27"/>
        <v>0</v>
      </c>
      <c r="I44" s="125">
        <f t="shared" si="27"/>
        <v>0</v>
      </c>
      <c r="J44" s="125">
        <f t="shared" si="27"/>
        <v>101434.41931745899</v>
      </c>
      <c r="K44" s="125">
        <f t="shared" si="27"/>
        <v>206926.21540761634</v>
      </c>
      <c r="L44" s="125">
        <f t="shared" si="27"/>
        <v>211064.73971576872</v>
      </c>
      <c r="M44" s="125">
        <f t="shared" si="27"/>
        <v>215286.03451008408</v>
      </c>
      <c r="N44" s="125">
        <f t="shared" si="27"/>
        <v>219591.7552002857</v>
      </c>
      <c r="O44" s="125">
        <f t="shared" si="27"/>
        <v>223983.59030429146</v>
      </c>
    </row>
    <row r="45" spans="2:16" ht="9" customHeight="1">
      <c r="B45" s="117"/>
      <c r="C45" s="139"/>
      <c r="D45" s="117"/>
      <c r="E45" s="217">
        <f t="shared" ref="E45:O45" si="28">IFERROR(E44/SUM(E41:E42),0)</f>
        <v>0</v>
      </c>
      <c r="F45" s="217">
        <f t="shared" si="28"/>
        <v>0</v>
      </c>
      <c r="G45" s="217">
        <f t="shared" si="28"/>
        <v>0</v>
      </c>
      <c r="H45" s="217">
        <f t="shared" si="28"/>
        <v>0</v>
      </c>
      <c r="I45" s="217">
        <f t="shared" si="28"/>
        <v>0</v>
      </c>
      <c r="J45" s="217">
        <f t="shared" si="28"/>
        <v>0.24999999999999992</v>
      </c>
      <c r="K45" s="217">
        <f t="shared" si="28"/>
        <v>0.24999999999999997</v>
      </c>
      <c r="L45" s="217">
        <f t="shared" si="28"/>
        <v>0.25000000000000006</v>
      </c>
      <c r="M45" s="217">
        <f t="shared" si="28"/>
        <v>0.25000000000000006</v>
      </c>
      <c r="N45" s="217">
        <f t="shared" si="28"/>
        <v>0.24999999999999994</v>
      </c>
      <c r="O45" s="217">
        <f t="shared" si="28"/>
        <v>0.25</v>
      </c>
    </row>
    <row r="46" spans="2:16" ht="9" customHeight="1">
      <c r="B46" s="121" t="s">
        <v>169</v>
      </c>
      <c r="C46" s="139"/>
      <c r="D46" s="128">
        <f>INDEX(cockpit!$J$6:$X$16,MATCH($D32,cockpit!$J$6:$J$16,0),MATCH($B46,cockpit!$J$6:$X$6,0))</f>
        <v>2.5000000000000001E-2</v>
      </c>
      <c r="E46" s="125">
        <f>-E37*$D46</f>
        <v>0</v>
      </c>
      <c r="F46" s="125">
        <f t="shared" ref="F46:O46" si="29">-F37*$D46</f>
        <v>0</v>
      </c>
      <c r="G46" s="125">
        <f t="shared" si="29"/>
        <v>0</v>
      </c>
      <c r="H46" s="125">
        <f t="shared" si="29"/>
        <v>0</v>
      </c>
      <c r="I46" s="125">
        <f t="shared" si="29"/>
        <v>0</v>
      </c>
      <c r="J46" s="125">
        <f t="shared" si="29"/>
        <v>-1014.8334885</v>
      </c>
      <c r="K46" s="125">
        <f t="shared" si="29"/>
        <v>-1014.8334885</v>
      </c>
      <c r="L46" s="125">
        <f t="shared" si="29"/>
        <v>-1014.8334885</v>
      </c>
      <c r="M46" s="125">
        <f t="shared" si="29"/>
        <v>-1014.8334885</v>
      </c>
      <c r="N46" s="125">
        <f t="shared" si="29"/>
        <v>-1014.8334885</v>
      </c>
      <c r="O46" s="125">
        <f t="shared" si="29"/>
        <v>-1014.8334885</v>
      </c>
    </row>
    <row r="47" spans="2:16" ht="9" customHeight="1">
      <c r="B47" s="121" t="s">
        <v>163</v>
      </c>
      <c r="C47" s="139"/>
      <c r="D47" s="128">
        <f>INDEX(cockpit!$J$6:$X$16,MATCH($D32,cockpit!$J$6:$J$16,0),MATCH($B47,cockpit!$J$6:$X$6,0))</f>
        <v>0</v>
      </c>
      <c r="E47" s="126">
        <f>-E39*$D47</f>
        <v>0</v>
      </c>
      <c r="F47" s="126">
        <f t="shared" ref="F47:O47" si="30">-F39*$D47</f>
        <v>0</v>
      </c>
      <c r="G47" s="126">
        <f t="shared" si="30"/>
        <v>0</v>
      </c>
      <c r="H47" s="126">
        <f t="shared" si="30"/>
        <v>0</v>
      </c>
      <c r="I47" s="126">
        <f t="shared" si="30"/>
        <v>0</v>
      </c>
      <c r="J47" s="126">
        <f t="shared" si="30"/>
        <v>0</v>
      </c>
      <c r="K47" s="126">
        <f t="shared" si="30"/>
        <v>0</v>
      </c>
      <c r="L47" s="126">
        <f t="shared" si="30"/>
        <v>0</v>
      </c>
      <c r="M47" s="126">
        <f t="shared" si="30"/>
        <v>0</v>
      </c>
      <c r="N47" s="126">
        <f t="shared" si="30"/>
        <v>0</v>
      </c>
      <c r="O47" s="126">
        <f t="shared" si="30"/>
        <v>0</v>
      </c>
    </row>
    <row r="48" spans="2:16" ht="9" customHeight="1">
      <c r="B48" s="127" t="s">
        <v>196</v>
      </c>
      <c r="C48" s="139"/>
      <c r="D48" s="128"/>
      <c r="E48" s="129">
        <f>SUM(E46:E47)</f>
        <v>0</v>
      </c>
      <c r="F48" s="129">
        <f t="shared" ref="F48:O48" si="31">SUM(F46:F47)</f>
        <v>0</v>
      </c>
      <c r="G48" s="129">
        <f t="shared" si="31"/>
        <v>0</v>
      </c>
      <c r="H48" s="129">
        <f t="shared" si="31"/>
        <v>0</v>
      </c>
      <c r="I48" s="129">
        <f t="shared" si="31"/>
        <v>0</v>
      </c>
      <c r="J48" s="129">
        <f t="shared" si="31"/>
        <v>-1014.8334885</v>
      </c>
      <c r="K48" s="129">
        <f t="shared" si="31"/>
        <v>-1014.8334885</v>
      </c>
      <c r="L48" s="129">
        <f t="shared" si="31"/>
        <v>-1014.8334885</v>
      </c>
      <c r="M48" s="129">
        <f t="shared" si="31"/>
        <v>-1014.8334885</v>
      </c>
      <c r="N48" s="129">
        <f t="shared" si="31"/>
        <v>-1014.8334885</v>
      </c>
      <c r="O48" s="129">
        <f t="shared" si="31"/>
        <v>-1014.8334885</v>
      </c>
    </row>
    <row r="49" spans="2:15" ht="9" customHeight="1">
      <c r="B49" s="121"/>
      <c r="C49" s="139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</row>
    <row r="50" spans="2:15" ht="9" customHeight="1">
      <c r="B50" s="121" t="s">
        <v>171</v>
      </c>
      <c r="C50" s="139"/>
      <c r="D50" s="124">
        <f>(parkingconstructioncostPSF*(1-$K31))+((parkingconstructioncostPSF*(1+premiumprices)*$K31))</f>
        <v>50</v>
      </c>
      <c r="E50" s="125">
        <f>-IF(OR(E$2=$H31,E$2=$H32,AND(E$2&gt;$H31,E$2&lt;$H32)),(INDEX(summary!$A$2:$D$24,MATCH($D32,summary!$A$2:$A$24,0),MATCH($D31,summary!$A$2:$D$2,0)))/Constructiontime)*($D50*((1+Inflation)^(E$2-1)))*(1+Developerfee)</f>
        <v>0</v>
      </c>
      <c r="F50" s="125">
        <f>-IF(OR(F$2=$H31,F$2=$H32,AND(F$2&gt;$H31,F$2&lt;$H32)),(INDEX(summary!$A$2:$D$24,MATCH($D32,summary!$A$2:$A$24,0),MATCH($D31,summary!$A$2:$D$2,0)))/Constructiontime)*($D50*((1+Inflation)^(F$2-1)))*(1+Developerfee)</f>
        <v>0</v>
      </c>
      <c r="G50" s="125">
        <f>-IF(OR(G$2=$H31,G$2=$H32,AND(G$2&gt;$H31,G$2&lt;$H32)),(INDEX(summary!$A$2:$D$24,MATCH($D32,summary!$A$2:$A$24,0),MATCH($D31,summary!$A$2:$D$2,0)))/Constructiontime)*($D50*((1+Inflation)^(G$2-1)))*(1+Developerfee)</f>
        <v>0</v>
      </c>
      <c r="H50" s="125">
        <f>-IF(OR(H$2=$H31,H$2=$H32,AND(H$2&gt;$H31,H$2&lt;$H32)),(INDEX(summary!$A$2:$D$24,MATCH($D32,summary!$A$2:$A$24,0),MATCH($D31,summary!$A$2:$D$2,0)))/Constructiontime)*($D50*((1+Inflation)^(H$2-1)))*(1+Developerfee)</f>
        <v>-2023679.4594178495</v>
      </c>
      <c r="I50" s="125">
        <f>-IF(OR(I$2=$H31,I$2=$H32,AND(I$2&gt;$H31,I$2&lt;$H32)),(INDEX(summary!$A$2:$D$24,MATCH($D32,summary!$A$2:$A$24,0),MATCH($D31,summary!$A$2:$D$2,0)))/Constructiontime)*($D50*((1+Inflation)^(I$2-1)))*(1+Developerfee)</f>
        <v>-2064153.0486062064</v>
      </c>
      <c r="J50" s="125">
        <f>-IF(OR(J$2=$H31,J$2=$H32,AND(J$2&gt;$H31,J$2&lt;$H32)),(INDEX(summary!$A$2:$D$24,MATCH($D32,summary!$A$2:$A$24,0),MATCH($D31,summary!$A$2:$D$2,0)))/Constructiontime)*($D50*((1+Inflation)^(J$2-1)))*(1+Developerfee)</f>
        <v>0</v>
      </c>
      <c r="K50" s="125">
        <f>-IF(OR(K$2=$H31,K$2=$H32,AND(K$2&gt;$H31,K$2&lt;$H32)),(INDEX(summary!$A$2:$D$24,MATCH($D32,summary!$A$2:$A$24,0),MATCH($D31,summary!$A$2:$D$2,0)))/Constructiontime)*($D50*((1+Inflation)^(K$2-1)))*(1+Developerfee)</f>
        <v>0</v>
      </c>
      <c r="L50" s="125">
        <f>-IF(OR(L$2=$H31,L$2=$H32,AND(L$2&gt;$H31,L$2&lt;$H32)),(INDEX(summary!$A$2:$D$24,MATCH($D32,summary!$A$2:$A$24,0),MATCH($D31,summary!$A$2:$D$2,0)))/Constructiontime)*($D50*((1+Inflation)^(L$2-1)))*(1+Developerfee)</f>
        <v>0</v>
      </c>
      <c r="M50" s="125">
        <f>-IF(OR(M$2=$H31,M$2=$H32,AND(M$2&gt;$H31,M$2&lt;$H32)),(INDEX(summary!$A$2:$D$24,MATCH($D32,summary!$A$2:$A$24,0),MATCH($D31,summary!$A$2:$D$2,0)))/Constructiontime)*($D50*((1+Inflation)^(M$2-1)))*(1+Developerfee)</f>
        <v>0</v>
      </c>
      <c r="N50" s="125">
        <f>-IF(OR(N$2=$H31,N$2=$H32,AND(N$2&gt;$H31,N$2&lt;$H32)),(INDEX(summary!$A$2:$D$24,MATCH($D32,summary!$A$2:$A$24,0),MATCH($D31,summary!$A$2:$D$2,0)))/Constructiontime)*($D50*((1+Inflation)^(N$2-1)))*(1+Developerfee)</f>
        <v>0</v>
      </c>
      <c r="O50" s="125">
        <f>-IF(OR(O$2=$H31,O$2=$H32,AND(O$2&gt;$H31,O$2&lt;$H32)),(INDEX(summary!$A$2:$D$24,MATCH($D32,summary!$A$2:$A$24,0),MATCH($D31,summary!$A$2:$D$2,0)))/Constructiontime)*($D50*((1+Inflation)^(O$2-1)))*(1+Developerfee)</f>
        <v>0</v>
      </c>
    </row>
    <row r="51" spans="2:15" ht="9" customHeight="1">
      <c r="B51" s="121" t="s">
        <v>198</v>
      </c>
      <c r="C51" s="139" t="s">
        <v>190</v>
      </c>
      <c r="D51" s="138">
        <f>(INDEX(cockpit!$J$6:$X$16,MATCH($D32,cockpit!$J$6:$J$16,0),MATCH($C51,cockpit!$J$6:$X$6,0))*(1-$K31))+((INDEX(cockpit!$J$6:$X$16,MATCH($D32,cockpit!$J$6:$J$16,0),MATCH($C51,cockpit!$J$6:$X$6,0))-(Premiumexitcaprate))*$K31)</f>
        <v>0.1</v>
      </c>
      <c r="E51" s="126">
        <f t="shared" ref="E51:O51" si="32">IF(E$2=dispositionyear,E44/$D51,0)*(1-Closingcosts)</f>
        <v>0</v>
      </c>
      <c r="F51" s="126">
        <f t="shared" si="32"/>
        <v>0</v>
      </c>
      <c r="G51" s="126">
        <f t="shared" si="32"/>
        <v>0</v>
      </c>
      <c r="H51" s="126">
        <f t="shared" si="32"/>
        <v>0</v>
      </c>
      <c r="I51" s="126">
        <f t="shared" si="32"/>
        <v>0</v>
      </c>
      <c r="J51" s="126">
        <f t="shared" si="32"/>
        <v>0</v>
      </c>
      <c r="K51" s="126">
        <f t="shared" si="32"/>
        <v>0</v>
      </c>
      <c r="L51" s="126">
        <f t="shared" si="32"/>
        <v>0</v>
      </c>
      <c r="M51" s="126">
        <f t="shared" si="32"/>
        <v>0</v>
      </c>
      <c r="N51" s="126">
        <f t="shared" si="32"/>
        <v>0</v>
      </c>
      <c r="O51" s="126">
        <f t="shared" si="32"/>
        <v>2183840.0054668416</v>
      </c>
    </row>
    <row r="52" spans="2:15" ht="9" customHeight="1">
      <c r="B52" s="127" t="s">
        <v>197</v>
      </c>
      <c r="C52" s="139"/>
      <c r="D52" s="123"/>
      <c r="E52" s="129">
        <f>SUM(E50:E51)</f>
        <v>0</v>
      </c>
      <c r="F52" s="129">
        <f t="shared" ref="F52:O52" si="33">SUM(F50:F51)</f>
        <v>0</v>
      </c>
      <c r="G52" s="129">
        <f t="shared" si="33"/>
        <v>0</v>
      </c>
      <c r="H52" s="129">
        <f t="shared" si="33"/>
        <v>-2023679.4594178495</v>
      </c>
      <c r="I52" s="129">
        <f t="shared" si="33"/>
        <v>-2064153.0486062064</v>
      </c>
      <c r="J52" s="129">
        <f t="shared" si="33"/>
        <v>0</v>
      </c>
      <c r="K52" s="129">
        <f t="shared" si="33"/>
        <v>0</v>
      </c>
      <c r="L52" s="129">
        <f t="shared" si="33"/>
        <v>0</v>
      </c>
      <c r="M52" s="129">
        <f t="shared" si="33"/>
        <v>0</v>
      </c>
      <c r="N52" s="129">
        <f t="shared" si="33"/>
        <v>0</v>
      </c>
      <c r="O52" s="129">
        <f t="shared" si="33"/>
        <v>2183840.0054668416</v>
      </c>
    </row>
    <row r="53" spans="2:15" ht="9" customHeight="1">
      <c r="B53" s="121"/>
      <c r="C53" s="139"/>
      <c r="D53" s="123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</row>
    <row r="54" spans="2:15" ht="9" customHeight="1">
      <c r="B54" s="127" t="s">
        <v>170</v>
      </c>
      <c r="C54" s="127"/>
      <c r="D54" s="130">
        <f ca="1">IRR(OFFSET(E54,0,0,1,Investmenthorizon+1))</f>
        <v>-3.3730591960692502E-2</v>
      </c>
      <c r="E54" s="131">
        <f>SUM(E44,E48,E52)</f>
        <v>0</v>
      </c>
      <c r="F54" s="131">
        <f t="shared" ref="F54:O54" si="34">SUM(F44,F48,F52)</f>
        <v>0</v>
      </c>
      <c r="G54" s="131">
        <f t="shared" si="34"/>
        <v>0</v>
      </c>
      <c r="H54" s="131">
        <f t="shared" si="34"/>
        <v>-2023679.4594178495</v>
      </c>
      <c r="I54" s="131">
        <f t="shared" si="34"/>
        <v>-2064153.0486062064</v>
      </c>
      <c r="J54" s="131">
        <f t="shared" si="34"/>
        <v>100419.585828959</v>
      </c>
      <c r="K54" s="131">
        <f t="shared" si="34"/>
        <v>205911.38191911633</v>
      </c>
      <c r="L54" s="131">
        <f t="shared" si="34"/>
        <v>210049.90622726872</v>
      </c>
      <c r="M54" s="131">
        <f t="shared" si="34"/>
        <v>214271.20102158407</v>
      </c>
      <c r="N54" s="131">
        <f t="shared" si="34"/>
        <v>218576.92171178569</v>
      </c>
      <c r="O54" s="131">
        <f t="shared" si="34"/>
        <v>2406808.7622826332</v>
      </c>
    </row>
    <row r="55" spans="2:15" ht="9" customHeight="1" thickBot="1"/>
    <row r="56" spans="2:15" ht="9" customHeight="1">
      <c r="B56" s="144" t="s">
        <v>199</v>
      </c>
      <c r="C56" s="145"/>
      <c r="D56" s="145"/>
      <c r="E56" s="156"/>
      <c r="F56" s="157"/>
      <c r="G56" s="157"/>
      <c r="H56" s="157"/>
      <c r="I56" s="157"/>
      <c r="J56" s="157"/>
      <c r="K56" s="146"/>
      <c r="L56" s="119"/>
      <c r="M56" s="119"/>
      <c r="N56" s="119"/>
      <c r="O56" s="119"/>
    </row>
    <row r="57" spans="2:15" ht="9" customHeight="1">
      <c r="B57" s="147" t="s">
        <v>89</v>
      </c>
      <c r="C57" s="142"/>
      <c r="D57" s="155">
        <v>3</v>
      </c>
      <c r="E57" s="140"/>
      <c r="F57" s="140"/>
      <c r="G57" s="141" t="s">
        <v>205</v>
      </c>
      <c r="H57" s="161">
        <f>Phase3begin</f>
        <v>5</v>
      </c>
      <c r="I57" s="140"/>
      <c r="J57" s="141" t="s">
        <v>202</v>
      </c>
      <c r="K57" s="158">
        <v>0</v>
      </c>
      <c r="L57" s="117"/>
      <c r="M57" s="117"/>
      <c r="N57" s="117"/>
      <c r="O57" s="117"/>
    </row>
    <row r="58" spans="2:15" ht="9" customHeight="1">
      <c r="B58" s="147" t="s">
        <v>94</v>
      </c>
      <c r="C58" s="142"/>
      <c r="D58" s="152" t="s">
        <v>337</v>
      </c>
      <c r="E58" s="140"/>
      <c r="F58" s="140"/>
      <c r="G58" s="141" t="s">
        <v>206</v>
      </c>
      <c r="H58" s="161">
        <f>Phase3end</f>
        <v>6</v>
      </c>
      <c r="I58" s="140"/>
      <c r="J58" s="140"/>
      <c r="K58" s="148"/>
      <c r="L58" s="117"/>
      <c r="M58" s="117"/>
      <c r="N58" s="117"/>
      <c r="O58" s="117"/>
    </row>
    <row r="59" spans="2:15" ht="9" customHeight="1" thickBot="1">
      <c r="B59" s="159"/>
      <c r="C59" s="160"/>
      <c r="D59" s="160"/>
      <c r="E59" s="160"/>
      <c r="F59" s="160"/>
      <c r="G59" s="150" t="s">
        <v>200</v>
      </c>
      <c r="H59" s="153">
        <f>Phase3open</f>
        <v>7</v>
      </c>
      <c r="I59" s="160"/>
      <c r="J59" s="160"/>
      <c r="K59" s="149"/>
      <c r="L59" s="117"/>
      <c r="M59" s="117"/>
      <c r="N59" s="117"/>
      <c r="O59" s="117"/>
    </row>
    <row r="60" spans="2:15" ht="9" customHeight="1">
      <c r="B60" s="117"/>
      <c r="C60" s="136"/>
      <c r="D60" s="120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  <row r="61" spans="2:15" ht="9" customHeight="1">
      <c r="B61" s="121" t="s">
        <v>183</v>
      </c>
      <c r="C61" s="121"/>
      <c r="D61" s="117"/>
      <c r="E61" s="122">
        <f>IF(OR(E$2=$H59,E$2&gt;$H59),INDEX(summary!$A$2:$D$24,MATCH($D58,summary!$A$2:$A$24,0),MATCH($D57,summary!$A$2:$D$2,0)),0)</f>
        <v>0</v>
      </c>
      <c r="F61" s="122">
        <f>IF(OR(F$2=$H59,F$2&gt;$H59),INDEX(summary!$A$2:$D$24,MATCH($D58,summary!$A$2:$A$24,0),MATCH($D57,summary!$A$2:$D$2,0)),0)</f>
        <v>0</v>
      </c>
      <c r="G61" s="122">
        <f>IF(OR(G$2=$H59,G$2&gt;$H59),INDEX(summary!$A$2:$D$24,MATCH($D58,summary!$A$2:$A$24,0),MATCH($D57,summary!$A$2:$D$2,0)),0)</f>
        <v>0</v>
      </c>
      <c r="H61" s="122">
        <f>IF(OR(H$2=$H59,H$2&gt;$H59),INDEX(summary!$A$2:$D$24,MATCH($D58,summary!$A$2:$A$24,0),MATCH($D57,summary!$A$2:$D$2,0)),0)</f>
        <v>0</v>
      </c>
      <c r="I61" s="122">
        <f>IF(OR(I$2=$H59,I$2&gt;$H59),INDEX(summary!$A$2:$D$24,MATCH($D58,summary!$A$2:$A$24,0),MATCH($D57,summary!$A$2:$D$2,0)),0)</f>
        <v>0</v>
      </c>
      <c r="J61" s="122">
        <f>IF(OR(J$2=$H59,J$2&gt;$H59),INDEX(summary!$A$2:$D$24,MATCH($D58,summary!$A$2:$A$24,0),MATCH($D57,summary!$A$2:$D$2,0)),0)</f>
        <v>0</v>
      </c>
      <c r="K61" s="122">
        <f>IF(OR(K$2=$H59,K$2&gt;$H59),INDEX(summary!$A$2:$D$24,MATCH($D58,summary!$A$2:$A$24,0),MATCH($D57,summary!$A$2:$D$2,0)),0)</f>
        <v>0</v>
      </c>
      <c r="L61" s="122">
        <f>IF(OR(L$2=$H59,L$2&gt;$H59),INDEX(summary!$A$2:$D$24,MATCH($D58,summary!$A$2:$A$24,0),MATCH($D57,summary!$A$2:$D$2,0)),0)</f>
        <v>113150</v>
      </c>
      <c r="M61" s="122">
        <f>IF(OR(M$2=$H59,M$2&gt;$H59),INDEX(summary!$A$2:$D$24,MATCH($D58,summary!$A$2:$A$24,0),MATCH($D57,summary!$A$2:$D$2,0)),0)</f>
        <v>113150</v>
      </c>
      <c r="N61" s="122">
        <f>IF(OR(N$2=$H59,N$2&gt;$H59),INDEX(summary!$A$2:$D$24,MATCH($D58,summary!$A$2:$A$24,0),MATCH($D57,summary!$A$2:$D$2,0)),0)</f>
        <v>113150</v>
      </c>
      <c r="O61" s="122">
        <f>IF(OR(O$2=$H59,O$2&gt;$H59),INDEX(summary!$A$2:$D$24,MATCH($D58,summary!$A$2:$A$24,0),MATCH($D57,summary!$A$2:$D$2,0)),0)</f>
        <v>113150</v>
      </c>
    </row>
    <row r="62" spans="2:15" ht="9" customHeight="1">
      <c r="B62" s="121" t="s">
        <v>406</v>
      </c>
      <c r="C62" s="121"/>
      <c r="D62" s="117"/>
      <c r="E62" s="122">
        <f t="shared" ref="E62:O62" si="35">E61*(1-$D63)/parkingaveragespacesize</f>
        <v>0</v>
      </c>
      <c r="F62" s="122">
        <f t="shared" si="35"/>
        <v>0</v>
      </c>
      <c r="G62" s="122">
        <f t="shared" si="35"/>
        <v>0</v>
      </c>
      <c r="H62" s="122">
        <f t="shared" si="35"/>
        <v>0</v>
      </c>
      <c r="I62" s="122">
        <f t="shared" si="35"/>
        <v>0</v>
      </c>
      <c r="J62" s="122">
        <f t="shared" si="35"/>
        <v>0</v>
      </c>
      <c r="K62" s="122">
        <f t="shared" si="35"/>
        <v>0</v>
      </c>
      <c r="L62" s="122">
        <f t="shared" si="35"/>
        <v>339.45</v>
      </c>
      <c r="M62" s="122">
        <f t="shared" si="35"/>
        <v>339.45</v>
      </c>
      <c r="N62" s="122">
        <f t="shared" si="35"/>
        <v>339.45</v>
      </c>
      <c r="O62" s="122">
        <f t="shared" si="35"/>
        <v>339.45</v>
      </c>
    </row>
    <row r="63" spans="2:15" ht="9" customHeight="1">
      <c r="B63" s="121" t="s">
        <v>195</v>
      </c>
      <c r="C63" s="137" t="s">
        <v>192</v>
      </c>
      <c r="D63" s="123">
        <f>INDEX(cockpit!$J$6:$X$16,MATCH($D58,cockpit!$J$6:$J$16,0),MATCH($C$11,cockpit!$J$6:$X$6,0))</f>
        <v>0.4</v>
      </c>
      <c r="E63" s="122">
        <f t="shared" ref="E63:O63" si="36">E61*(1-$D63)</f>
        <v>0</v>
      </c>
      <c r="F63" s="122">
        <f t="shared" si="36"/>
        <v>0</v>
      </c>
      <c r="G63" s="122">
        <f t="shared" si="36"/>
        <v>0</v>
      </c>
      <c r="H63" s="122">
        <f t="shared" si="36"/>
        <v>0</v>
      </c>
      <c r="I63" s="122">
        <f t="shared" si="36"/>
        <v>0</v>
      </c>
      <c r="J63" s="122">
        <f t="shared" si="36"/>
        <v>0</v>
      </c>
      <c r="K63" s="122">
        <f t="shared" si="36"/>
        <v>0</v>
      </c>
      <c r="L63" s="122">
        <f t="shared" si="36"/>
        <v>67890</v>
      </c>
      <c r="M63" s="122">
        <f t="shared" si="36"/>
        <v>67890</v>
      </c>
      <c r="N63" s="122">
        <f t="shared" si="36"/>
        <v>67890</v>
      </c>
      <c r="O63" s="122">
        <f t="shared" si="36"/>
        <v>67890</v>
      </c>
    </row>
    <row r="64" spans="2:15" ht="9" customHeight="1">
      <c r="B64" s="121" t="s">
        <v>181</v>
      </c>
      <c r="C64" s="137" t="s">
        <v>153</v>
      </c>
      <c r="D64" s="138">
        <f>parkingrampup</f>
        <v>0.47499999999999998</v>
      </c>
      <c r="E64" s="122">
        <f>(IF(OR(E$2=$H59,AND(E$2&gt;$H59,E$2&lt;(SUM($H59,INDEX(cockpit!$J$6:$X$16,MATCH($D58,cockpit!$J$6:$J$16,0),MATCH($C$12,cockpit!$J$6:$X$6,0)))))),E63*$D64,0))/parkingaveragespacesize</f>
        <v>0</v>
      </c>
      <c r="F64" s="122">
        <f>(IF(OR(F$2=$H59,AND(F$2&gt;$H59,F$2&lt;(SUM($H59,INDEX(cockpit!$J$6:$X$16,MATCH($D58,cockpit!$J$6:$J$16,0),MATCH($C$12,cockpit!$J$6:$X$6,0)))))),F63*$D64,0))/parkingaveragespacesize</f>
        <v>0</v>
      </c>
      <c r="G64" s="122">
        <f>(IF(OR(G$2=$H59,AND(G$2&gt;$H59,G$2&lt;(SUM($H59,INDEX(cockpit!$J$6:$X$16,MATCH($D58,cockpit!$J$6:$J$16,0),MATCH($C$12,cockpit!$J$6:$X$6,0)))))),G63*$D64,0))/parkingaveragespacesize</f>
        <v>0</v>
      </c>
      <c r="H64" s="122">
        <f>(IF(OR(H$2=$H59,AND(H$2&gt;$H59,H$2&lt;(SUM($H59,INDEX(cockpit!$J$6:$X$16,MATCH($D58,cockpit!$J$6:$J$16,0),MATCH($C$12,cockpit!$J$6:$X$6,0)))))),H63*$D64,0))/parkingaveragespacesize</f>
        <v>0</v>
      </c>
      <c r="I64" s="122">
        <f>(IF(OR(I$2=$H59,AND(I$2&gt;$H59,I$2&lt;(SUM($H59,INDEX(cockpit!$J$6:$X$16,MATCH($D58,cockpit!$J$6:$J$16,0),MATCH($C$12,cockpit!$J$6:$X$6,0)))))),I63*$D64,0))/parkingaveragespacesize</f>
        <v>0</v>
      </c>
      <c r="J64" s="122">
        <f>(IF(OR(J$2=$H59,AND(J$2&gt;$H59,J$2&lt;(SUM($H59,INDEX(cockpit!$J$6:$X$16,MATCH($D58,cockpit!$J$6:$J$16,0),MATCH($C$12,cockpit!$J$6:$X$6,0)))))),J63*$D64,0))/parkingaveragespacesize</f>
        <v>0</v>
      </c>
      <c r="K64" s="122">
        <f>(IF(OR(K$2=$H59,AND(K$2&gt;$H59,K$2&lt;(SUM($H59,INDEX(cockpit!$J$6:$X$16,MATCH($D58,cockpit!$J$6:$J$16,0),MATCH($C$12,cockpit!$J$6:$X$6,0)))))),K63*$D64,0))/parkingaveragespacesize</f>
        <v>0</v>
      </c>
      <c r="L64" s="122">
        <f>(IF(OR(L$2=$H59,AND(L$2&gt;$H59,L$2&lt;(SUM($H59,INDEX(cockpit!$J$6:$X$16,MATCH($D58,cockpit!$J$6:$J$16,0),MATCH($C$12,cockpit!$J$6:$X$6,0)))))),L63*$D64,0))/parkingaveragespacesize</f>
        <v>161.23875000000001</v>
      </c>
      <c r="M64" s="122">
        <f>(IF(OR(M$2=$H59,AND(M$2&gt;$H59,M$2&lt;(SUM($H59,INDEX(cockpit!$J$6:$X$16,MATCH($D58,cockpit!$J$6:$J$16,0),MATCH($C$12,cockpit!$J$6:$X$6,0)))))),M63*$D64,0))/parkingaveragespacesize</f>
        <v>161.23875000000001</v>
      </c>
      <c r="N64" s="122">
        <f>(IF(OR(N$2=$H59,AND(N$2&gt;$H59,N$2&lt;(SUM($H59,INDEX(cockpit!$J$6:$X$16,MATCH($D58,cockpit!$J$6:$J$16,0),MATCH($C$12,cockpit!$J$6:$X$6,0)))))),N63*$D64,0))/parkingaveragespacesize</f>
        <v>0</v>
      </c>
      <c r="O64" s="122">
        <f>(IF(OR(O$2=$H59,AND(O$2&gt;$H59,O$2&lt;(SUM($H59,INDEX(cockpit!$J$6:$X$16,MATCH($D58,cockpit!$J$6:$J$16,0),MATCH($C$12,cockpit!$J$6:$X$6,0)))))),O63*$D64,0))/parkingaveragespacesize</f>
        <v>0</v>
      </c>
    </row>
    <row r="65" spans="2:15" ht="9" customHeight="1">
      <c r="B65" s="121" t="s">
        <v>404</v>
      </c>
      <c r="C65" s="139"/>
      <c r="D65" s="352">
        <f>parkingaveragespacesize</f>
        <v>200</v>
      </c>
      <c r="E65" s="122">
        <f>SUM($E64:E64)</f>
        <v>0</v>
      </c>
      <c r="F65" s="122">
        <f>SUM($E64:F64)</f>
        <v>0</v>
      </c>
      <c r="G65" s="122">
        <f>SUM($E64:G64)</f>
        <v>0</v>
      </c>
      <c r="H65" s="122">
        <f>SUM($E64:H64)</f>
        <v>0</v>
      </c>
      <c r="I65" s="122">
        <f>SUM($E64:I64)</f>
        <v>0</v>
      </c>
      <c r="J65" s="122">
        <f>SUM($E64:J64)</f>
        <v>0</v>
      </c>
      <c r="K65" s="122">
        <f>SUM($E64:K64)</f>
        <v>0</v>
      </c>
      <c r="L65" s="122">
        <f>SUM($E64:L64)</f>
        <v>161.23875000000001</v>
      </c>
      <c r="M65" s="122">
        <f>SUM($E64:M64)</f>
        <v>322.47750000000002</v>
      </c>
      <c r="N65" s="122">
        <f>SUM($E64:N64)</f>
        <v>322.47750000000002</v>
      </c>
      <c r="O65" s="122">
        <f>SUM($E64:O64)</f>
        <v>322.47750000000002</v>
      </c>
    </row>
    <row r="66" spans="2:15" ht="9" customHeight="1">
      <c r="B66" s="117"/>
      <c r="C66" s="139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</row>
    <row r="67" spans="2:15" ht="9" customHeight="1">
      <c r="B67" s="121" t="s">
        <v>167</v>
      </c>
      <c r="C67" s="139"/>
      <c r="D67" s="124">
        <f>parkingrevenueperspacepermonth</f>
        <v>324</v>
      </c>
      <c r="E67" s="125">
        <f t="shared" ref="E67:O67" si="37">(E65*12)*($D67*((1+Inflation)^(E$2-1)))</f>
        <v>0</v>
      </c>
      <c r="F67" s="125">
        <f t="shared" si="37"/>
        <v>0</v>
      </c>
      <c r="G67" s="125">
        <f t="shared" si="37"/>
        <v>0</v>
      </c>
      <c r="H67" s="125">
        <f t="shared" si="37"/>
        <v>0</v>
      </c>
      <c r="I67" s="125">
        <f t="shared" si="37"/>
        <v>0</v>
      </c>
      <c r="J67" s="125">
        <f t="shared" si="37"/>
        <v>0</v>
      </c>
      <c r="K67" s="125">
        <f t="shared" si="37"/>
        <v>0</v>
      </c>
      <c r="L67" s="125">
        <f t="shared" si="37"/>
        <v>705987.00878915365</v>
      </c>
      <c r="M67" s="125">
        <f t="shared" si="37"/>
        <v>1440213.4979298732</v>
      </c>
      <c r="N67" s="125">
        <f t="shared" si="37"/>
        <v>1469017.7678884708</v>
      </c>
      <c r="O67" s="125">
        <f t="shared" si="37"/>
        <v>1498398.1232462402</v>
      </c>
    </row>
    <row r="68" spans="2:15" ht="9" customHeight="1">
      <c r="B68" s="134" t="s">
        <v>218</v>
      </c>
      <c r="C68" s="139"/>
      <c r="D68" s="124">
        <f>IF(INDEX(cockpit!$J$6:$X$16,MATCH($D58,cockpit!$J$6:$J$16,0),MATCH($B68,cockpit!$J$6:$X$6,0))="Y",D69,0)</f>
        <v>0</v>
      </c>
      <c r="E68" s="125">
        <f>-IF($D68&gt;0,E69,0)</f>
        <v>0</v>
      </c>
      <c r="F68" s="125">
        <f t="shared" ref="F68" si="38">-IF($D68&gt;0,F69,0)</f>
        <v>0</v>
      </c>
      <c r="G68" s="125">
        <f t="shared" ref="G68" si="39">-IF($D68&gt;0,G69,0)</f>
        <v>0</v>
      </c>
      <c r="H68" s="125">
        <f t="shared" ref="H68" si="40">-IF($D68&gt;0,H69,0)</f>
        <v>0</v>
      </c>
      <c r="I68" s="125">
        <f t="shared" ref="I68" si="41">-IF($D68&gt;0,I69,0)</f>
        <v>0</v>
      </c>
      <c r="J68" s="125">
        <f t="shared" ref="J68" si="42">-IF($D68&gt;0,J69,0)</f>
        <v>0</v>
      </c>
      <c r="K68" s="125">
        <f t="shared" ref="K68" si="43">-IF($D68&gt;0,K69,0)</f>
        <v>0</v>
      </c>
      <c r="L68" s="125">
        <f t="shared" ref="L68" si="44">-IF($D68&gt;0,L69,0)</f>
        <v>0</v>
      </c>
      <c r="M68" s="125">
        <f t="shared" ref="M68" si="45">-IF($D68&gt;0,M69,0)</f>
        <v>0</v>
      </c>
      <c r="N68" s="125">
        <f t="shared" ref="N68" si="46">-IF($D68&gt;0,N69,0)</f>
        <v>0</v>
      </c>
      <c r="O68" s="125">
        <f t="shared" ref="O68" si="47">-IF($D68&gt;0,O69,0)</f>
        <v>0</v>
      </c>
    </row>
    <row r="69" spans="2:15" ht="9" customHeight="1">
      <c r="B69" s="121" t="s">
        <v>124</v>
      </c>
      <c r="C69" s="139"/>
      <c r="D69" s="138">
        <f>INDEX(cockpit!$J$6:$X$16,MATCH($D58,cockpit!$J$6:$J$16,0),MATCH($B69,cockpit!$J$6:$X$6,0))</f>
        <v>0.25</v>
      </c>
      <c r="E69" s="126">
        <f t="shared" ref="E69:O69" si="48">-IF($D69&gt;1,E61*($D69*((1+Inflation)^(E$2-1))),E67*(1-$D69))</f>
        <v>0</v>
      </c>
      <c r="F69" s="126">
        <f t="shared" si="48"/>
        <v>0</v>
      </c>
      <c r="G69" s="126">
        <f t="shared" si="48"/>
        <v>0</v>
      </c>
      <c r="H69" s="126">
        <f t="shared" si="48"/>
        <v>0</v>
      </c>
      <c r="I69" s="126">
        <f t="shared" si="48"/>
        <v>0</v>
      </c>
      <c r="J69" s="126">
        <f t="shared" si="48"/>
        <v>0</v>
      </c>
      <c r="K69" s="126">
        <f t="shared" si="48"/>
        <v>0</v>
      </c>
      <c r="L69" s="126">
        <f t="shared" si="48"/>
        <v>-529490.25659186521</v>
      </c>
      <c r="M69" s="126">
        <f t="shared" si="48"/>
        <v>-1080160.1234474049</v>
      </c>
      <c r="N69" s="126">
        <f t="shared" si="48"/>
        <v>-1101763.3259163531</v>
      </c>
      <c r="O69" s="126">
        <f t="shared" si="48"/>
        <v>-1123798.5924346801</v>
      </c>
    </row>
    <row r="70" spans="2:15" ht="9" customHeight="1">
      <c r="B70" s="127" t="s">
        <v>168</v>
      </c>
      <c r="C70" s="139"/>
      <c r="D70" s="117"/>
      <c r="E70" s="125">
        <f>SUM(E67:E69)</f>
        <v>0</v>
      </c>
      <c r="F70" s="125">
        <f t="shared" ref="F70:O70" si="49">SUM(F67:F69)</f>
        <v>0</v>
      </c>
      <c r="G70" s="125">
        <f t="shared" si="49"/>
        <v>0</v>
      </c>
      <c r="H70" s="125">
        <f t="shared" si="49"/>
        <v>0</v>
      </c>
      <c r="I70" s="125">
        <f t="shared" si="49"/>
        <v>0</v>
      </c>
      <c r="J70" s="125">
        <f t="shared" si="49"/>
        <v>0</v>
      </c>
      <c r="K70" s="125">
        <f t="shared" si="49"/>
        <v>0</v>
      </c>
      <c r="L70" s="125">
        <f t="shared" si="49"/>
        <v>176496.75219728844</v>
      </c>
      <c r="M70" s="125">
        <f t="shared" si="49"/>
        <v>360053.37448246824</v>
      </c>
      <c r="N70" s="125">
        <f t="shared" si="49"/>
        <v>367254.44197211764</v>
      </c>
      <c r="O70" s="125">
        <f t="shared" si="49"/>
        <v>374599.53081156011</v>
      </c>
    </row>
    <row r="71" spans="2:15" ht="9" customHeight="1">
      <c r="B71" s="117"/>
      <c r="C71" s="139"/>
      <c r="D71" s="117"/>
      <c r="E71" s="217">
        <f t="shared" ref="E71:O71" si="50">IFERROR(E70/SUM(E67:E68),0)</f>
        <v>0</v>
      </c>
      <c r="F71" s="217">
        <f t="shared" si="50"/>
        <v>0</v>
      </c>
      <c r="G71" s="217">
        <f t="shared" si="50"/>
        <v>0</v>
      </c>
      <c r="H71" s="217">
        <f t="shared" si="50"/>
        <v>0</v>
      </c>
      <c r="I71" s="217">
        <f t="shared" si="50"/>
        <v>0</v>
      </c>
      <c r="J71" s="217">
        <f t="shared" si="50"/>
        <v>0</v>
      </c>
      <c r="K71" s="217">
        <f t="shared" si="50"/>
        <v>0</v>
      </c>
      <c r="L71" s="217">
        <f t="shared" si="50"/>
        <v>0.25000000000000006</v>
      </c>
      <c r="M71" s="217">
        <f t="shared" si="50"/>
        <v>0.24999999999999997</v>
      </c>
      <c r="N71" s="217">
        <f t="shared" si="50"/>
        <v>0.24999999999999997</v>
      </c>
      <c r="O71" s="217">
        <f t="shared" si="50"/>
        <v>0.25000000000000006</v>
      </c>
    </row>
    <row r="72" spans="2:15" ht="9" customHeight="1">
      <c r="B72" s="121" t="s">
        <v>169</v>
      </c>
      <c r="C72" s="139"/>
      <c r="D72" s="128">
        <f>INDEX(cockpit!$J$6:$X$16,MATCH($D58,cockpit!$J$6:$J$16,0),MATCH($B72,cockpit!$J$6:$X$6,0))</f>
        <v>2.5000000000000001E-2</v>
      </c>
      <c r="E72" s="125">
        <f>-E63*$D72</f>
        <v>0</v>
      </c>
      <c r="F72" s="125">
        <f t="shared" ref="F72:O72" si="51">-F63*$D72</f>
        <v>0</v>
      </c>
      <c r="G72" s="125">
        <f t="shared" si="51"/>
        <v>0</v>
      </c>
      <c r="H72" s="125">
        <f t="shared" si="51"/>
        <v>0</v>
      </c>
      <c r="I72" s="125">
        <f t="shared" si="51"/>
        <v>0</v>
      </c>
      <c r="J72" s="125">
        <f t="shared" si="51"/>
        <v>0</v>
      </c>
      <c r="K72" s="125">
        <f t="shared" si="51"/>
        <v>0</v>
      </c>
      <c r="L72" s="125">
        <f t="shared" si="51"/>
        <v>-1697.25</v>
      </c>
      <c r="M72" s="125">
        <f t="shared" si="51"/>
        <v>-1697.25</v>
      </c>
      <c r="N72" s="125">
        <f t="shared" si="51"/>
        <v>-1697.25</v>
      </c>
      <c r="O72" s="125">
        <f t="shared" si="51"/>
        <v>-1697.25</v>
      </c>
    </row>
    <row r="73" spans="2:15" ht="9" customHeight="1">
      <c r="B73" s="121" t="s">
        <v>163</v>
      </c>
      <c r="C73" s="139"/>
      <c r="D73" s="128">
        <f>INDEX(cockpit!$J$6:$X$16,MATCH($D58,cockpit!$J$6:$J$16,0),MATCH($B73,cockpit!$J$6:$X$6,0))</f>
        <v>0</v>
      </c>
      <c r="E73" s="126">
        <f>-E65*$D73</f>
        <v>0</v>
      </c>
      <c r="F73" s="126">
        <f t="shared" ref="F73:O73" si="52">-F65*$D73</f>
        <v>0</v>
      </c>
      <c r="G73" s="126">
        <f t="shared" si="52"/>
        <v>0</v>
      </c>
      <c r="H73" s="126">
        <f t="shared" si="52"/>
        <v>0</v>
      </c>
      <c r="I73" s="126">
        <f t="shared" si="52"/>
        <v>0</v>
      </c>
      <c r="J73" s="126">
        <f t="shared" si="52"/>
        <v>0</v>
      </c>
      <c r="K73" s="126">
        <f t="shared" si="52"/>
        <v>0</v>
      </c>
      <c r="L73" s="126">
        <f t="shared" si="52"/>
        <v>0</v>
      </c>
      <c r="M73" s="126">
        <f t="shared" si="52"/>
        <v>0</v>
      </c>
      <c r="N73" s="126">
        <f t="shared" si="52"/>
        <v>0</v>
      </c>
      <c r="O73" s="126">
        <f t="shared" si="52"/>
        <v>0</v>
      </c>
    </row>
    <row r="74" spans="2:15" ht="9" customHeight="1">
      <c r="B74" s="127" t="s">
        <v>196</v>
      </c>
      <c r="C74" s="139"/>
      <c r="D74" s="128"/>
      <c r="E74" s="129">
        <f>SUM(E72:E73)</f>
        <v>0</v>
      </c>
      <c r="F74" s="129">
        <f t="shared" ref="F74:O74" si="53">SUM(F72:F73)</f>
        <v>0</v>
      </c>
      <c r="G74" s="129">
        <f t="shared" si="53"/>
        <v>0</v>
      </c>
      <c r="H74" s="129">
        <f t="shared" si="53"/>
        <v>0</v>
      </c>
      <c r="I74" s="129">
        <f t="shared" si="53"/>
        <v>0</v>
      </c>
      <c r="J74" s="129">
        <f t="shared" si="53"/>
        <v>0</v>
      </c>
      <c r="K74" s="129">
        <f t="shared" si="53"/>
        <v>0</v>
      </c>
      <c r="L74" s="129">
        <f t="shared" si="53"/>
        <v>-1697.25</v>
      </c>
      <c r="M74" s="129">
        <f t="shared" si="53"/>
        <v>-1697.25</v>
      </c>
      <c r="N74" s="129">
        <f t="shared" si="53"/>
        <v>-1697.25</v>
      </c>
      <c r="O74" s="129">
        <f t="shared" si="53"/>
        <v>-1697.25</v>
      </c>
    </row>
    <row r="75" spans="2:15" ht="9" customHeight="1">
      <c r="B75" s="121"/>
      <c r="C75" s="139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</row>
    <row r="76" spans="2:15" ht="9" customHeight="1">
      <c r="B76" s="121" t="s">
        <v>171</v>
      </c>
      <c r="C76" s="139"/>
      <c r="D76" s="124">
        <f>(parkingconstructioncostPSF*(1-$K57))+((parkingconstructioncostPSF*(1+premiumprices)*$K57))</f>
        <v>50</v>
      </c>
      <c r="E76" s="125">
        <f>-IF(OR(E$2=$H57,E$2=$H58,AND(E$2&gt;$H57,E$2&lt;$H58)),(INDEX(summary!$A$2:$D$24,MATCH($D58,summary!$A$2:$A$24,0),MATCH($D57,summary!$A$2:$D$2,0)))/Constructiontime)*($D76*((1+Inflation)^(E$2-1)))*(1+Developerfee)</f>
        <v>0</v>
      </c>
      <c r="F76" s="125">
        <f>-IF(OR(F$2=$H57,F$2=$H58,AND(F$2&gt;$H57,F$2&lt;$H58)),(INDEX(summary!$A$2:$D$24,MATCH($D58,summary!$A$2:$A$24,0),MATCH($D57,summary!$A$2:$D$2,0)))/Constructiontime)*($D76*((1+Inflation)^(F$2-1)))*(1+Developerfee)</f>
        <v>0</v>
      </c>
      <c r="G76" s="125">
        <f>-IF(OR(G$2=$H57,G$2=$H58,AND(G$2&gt;$H57,G$2&lt;$H58)),(INDEX(summary!$A$2:$D$24,MATCH($D58,summary!$A$2:$A$24,0),MATCH($D57,summary!$A$2:$D$2,0)))/Constructiontime)*($D76*((1+Inflation)^(G$2-1)))*(1+Developerfee)</f>
        <v>0</v>
      </c>
      <c r="H76" s="125">
        <f>-IF(OR(H$2=$H57,H$2=$H58,AND(H$2&gt;$H57,H$2&lt;$H58)),(INDEX(summary!$A$2:$D$24,MATCH($D58,summary!$A$2:$A$24,0),MATCH($D57,summary!$A$2:$D$2,0)))/Constructiontime)*($D76*((1+Inflation)^(H$2-1)))*(1+Developerfee)</f>
        <v>0</v>
      </c>
      <c r="I76" s="125">
        <f>-IF(OR(I$2=$H57,I$2=$H58,AND(I$2&gt;$H57,I$2&lt;$H58)),(INDEX(summary!$A$2:$D$24,MATCH($D58,summary!$A$2:$A$24,0),MATCH($D57,summary!$A$2:$D$2,0)))/Constructiontime)*($D76*((1+Inflation)^(I$2-1)))*(1+Developerfee)</f>
        <v>0</v>
      </c>
      <c r="J76" s="125">
        <f>-IF(OR(J$2=$H57,J$2=$H58,AND(J$2&gt;$H57,J$2&lt;$H58)),(INDEX(summary!$A$2:$D$24,MATCH($D58,summary!$A$2:$A$24,0),MATCH($D57,summary!$A$2:$D$2,0)))/Constructiontime)*($D76*((1+Inflation)^(J$2-1)))*(1+Developerfee)</f>
        <v>-3521219.4684899999</v>
      </c>
      <c r="K76" s="125">
        <f>-IF(OR(K$2=$H57,K$2=$H58,AND(K$2&gt;$H57,K$2&lt;$H58)),(INDEX(summary!$A$2:$D$24,MATCH($D58,summary!$A$2:$A$24,0),MATCH($D57,summary!$A$2:$D$2,0)))/Constructiontime)*($D76*((1+Inflation)^(K$2-1)))*(1+Developerfee)</f>
        <v>-3591643.8578597996</v>
      </c>
      <c r="L76" s="125">
        <f>-IF(OR(L$2=$H57,L$2=$H58,AND(L$2&gt;$H57,L$2&lt;$H58)),(INDEX(summary!$A$2:$D$24,MATCH($D58,summary!$A$2:$A$24,0),MATCH($D57,summary!$A$2:$D$2,0)))/Constructiontime)*($D76*((1+Inflation)^(L$2-1)))*(1+Developerfee)</f>
        <v>0</v>
      </c>
      <c r="M76" s="125">
        <f>-IF(OR(M$2=$H57,M$2=$H58,AND(M$2&gt;$H57,M$2&lt;$H58)),(INDEX(summary!$A$2:$D$24,MATCH($D58,summary!$A$2:$A$24,0),MATCH($D57,summary!$A$2:$D$2,0)))/Constructiontime)*($D76*((1+Inflation)^(M$2-1)))*(1+Developerfee)</f>
        <v>0</v>
      </c>
      <c r="N76" s="125">
        <f>-IF(OR(N$2=$H57,N$2=$H58,AND(N$2&gt;$H57,N$2&lt;$H58)),(INDEX(summary!$A$2:$D$24,MATCH($D58,summary!$A$2:$A$24,0),MATCH($D57,summary!$A$2:$D$2,0)))/Constructiontime)*($D76*((1+Inflation)^(N$2-1)))*(1+Developerfee)</f>
        <v>0</v>
      </c>
      <c r="O76" s="125">
        <f>-IF(OR(O$2=$H57,O$2=$H58,AND(O$2&gt;$H57,O$2&lt;$H58)),(INDEX(summary!$A$2:$D$24,MATCH($D58,summary!$A$2:$A$24,0),MATCH($D57,summary!$A$2:$D$2,0)))/Constructiontime)*($D76*((1+Inflation)^(O$2-1)))*(1+Developerfee)</f>
        <v>0</v>
      </c>
    </row>
    <row r="77" spans="2:15" ht="9" customHeight="1">
      <c r="B77" s="121" t="s">
        <v>198</v>
      </c>
      <c r="C77" s="139" t="s">
        <v>190</v>
      </c>
      <c r="D77" s="138">
        <f>(INDEX(cockpit!$J$6:$X$16,MATCH($D58,cockpit!$J$6:$J$16,0),MATCH($C77,cockpit!$J$6:$X$6,0))*(1-$K57))+((INDEX(cockpit!$J$6:$X$16,MATCH($D58,cockpit!$J$6:$J$16,0),MATCH($C77,cockpit!$J$6:$X$6,0))-(Premiumexitcaprate))*$K57)</f>
        <v>0.1</v>
      </c>
      <c r="E77" s="126">
        <f t="shared" ref="E77:O77" si="54">IF(E$2=dispositionyear,E70/$D77,0)*(1-Closingcosts)</f>
        <v>0</v>
      </c>
      <c r="F77" s="126">
        <f t="shared" si="54"/>
        <v>0</v>
      </c>
      <c r="G77" s="126">
        <f t="shared" si="54"/>
        <v>0</v>
      </c>
      <c r="H77" s="126">
        <f t="shared" si="54"/>
        <v>0</v>
      </c>
      <c r="I77" s="126">
        <f t="shared" si="54"/>
        <v>0</v>
      </c>
      <c r="J77" s="126">
        <f t="shared" si="54"/>
        <v>0</v>
      </c>
      <c r="K77" s="126">
        <f t="shared" si="54"/>
        <v>0</v>
      </c>
      <c r="L77" s="126">
        <f t="shared" si="54"/>
        <v>0</v>
      </c>
      <c r="M77" s="126">
        <f t="shared" si="54"/>
        <v>0</v>
      </c>
      <c r="N77" s="126">
        <f t="shared" si="54"/>
        <v>0</v>
      </c>
      <c r="O77" s="126">
        <f t="shared" si="54"/>
        <v>3652345.4254127108</v>
      </c>
    </row>
    <row r="78" spans="2:15" ht="9" customHeight="1">
      <c r="B78" s="127" t="s">
        <v>197</v>
      </c>
      <c r="C78" s="139"/>
      <c r="D78" s="123"/>
      <c r="E78" s="129">
        <f>SUM(E76:E77)</f>
        <v>0</v>
      </c>
      <c r="F78" s="129">
        <f t="shared" ref="F78:O78" si="55">SUM(F76:F77)</f>
        <v>0</v>
      </c>
      <c r="G78" s="129">
        <f t="shared" si="55"/>
        <v>0</v>
      </c>
      <c r="H78" s="129">
        <f t="shared" si="55"/>
        <v>0</v>
      </c>
      <c r="I78" s="129">
        <f t="shared" si="55"/>
        <v>0</v>
      </c>
      <c r="J78" s="129">
        <f t="shared" si="55"/>
        <v>-3521219.4684899999</v>
      </c>
      <c r="K78" s="129">
        <f t="shared" si="55"/>
        <v>-3591643.8578597996</v>
      </c>
      <c r="L78" s="129">
        <f t="shared" si="55"/>
        <v>0</v>
      </c>
      <c r="M78" s="129">
        <f t="shared" si="55"/>
        <v>0</v>
      </c>
      <c r="N78" s="129">
        <f t="shared" si="55"/>
        <v>0</v>
      </c>
      <c r="O78" s="129">
        <f t="shared" si="55"/>
        <v>3652345.4254127108</v>
      </c>
    </row>
    <row r="79" spans="2:15" ht="9" customHeight="1">
      <c r="B79" s="121"/>
      <c r="C79" s="139"/>
      <c r="D79" s="123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</row>
    <row r="80" spans="2:15" ht="9" customHeight="1">
      <c r="B80" s="127" t="s">
        <v>170</v>
      </c>
      <c r="C80" s="127"/>
      <c r="D80" s="130">
        <f ca="1">IRR(OFFSET(E80,0,0,1,Investmenthorizon+1))</f>
        <v>-8.4191269980479211E-2</v>
      </c>
      <c r="E80" s="131">
        <f>SUM(E70,E74,E78)</f>
        <v>0</v>
      </c>
      <c r="F80" s="131">
        <f t="shared" ref="F80:O80" si="56">SUM(F70,F74,F78)</f>
        <v>0</v>
      </c>
      <c r="G80" s="131">
        <f t="shared" si="56"/>
        <v>0</v>
      </c>
      <c r="H80" s="131">
        <f t="shared" si="56"/>
        <v>0</v>
      </c>
      <c r="I80" s="131">
        <f t="shared" si="56"/>
        <v>0</v>
      </c>
      <c r="J80" s="131">
        <f t="shared" si="56"/>
        <v>-3521219.4684899999</v>
      </c>
      <c r="K80" s="131">
        <f t="shared" si="56"/>
        <v>-3591643.8578597996</v>
      </c>
      <c r="L80" s="131">
        <f t="shared" si="56"/>
        <v>174799.50219728844</v>
      </c>
      <c r="M80" s="131">
        <f t="shared" si="56"/>
        <v>358356.12448246824</v>
      </c>
      <c r="N80" s="131">
        <f t="shared" si="56"/>
        <v>365557.19197211764</v>
      </c>
      <c r="O80" s="131">
        <f t="shared" si="56"/>
        <v>4025247.7062242711</v>
      </c>
    </row>
    <row r="81" spans="2:15" ht="9" customHeight="1">
      <c r="B81" s="127"/>
      <c r="C81" s="127"/>
      <c r="D81" s="132"/>
      <c r="E81" s="117"/>
      <c r="F81" s="117"/>
      <c r="G81" s="117"/>
      <c r="H81" s="133"/>
      <c r="I81" s="117"/>
      <c r="J81" s="117"/>
      <c r="K81" s="117"/>
      <c r="L81" s="117"/>
      <c r="M81" s="117"/>
      <c r="N81" s="117"/>
      <c r="O81" s="117"/>
    </row>
    <row r="82" spans="2:15" ht="9" customHeight="1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BCA96-FAF1-4540-8E24-2570E99B1BFE}">
  <sheetPr>
    <tabColor theme="2" tint="-0.249977111117893"/>
  </sheetPr>
  <dimension ref="B2:V41"/>
  <sheetViews>
    <sheetView showGridLines="0" zoomScale="40" zoomScaleNormal="40" workbookViewId="0">
      <selection activeCell="E7" sqref="E6:E7"/>
    </sheetView>
    <sheetView zoomScale="40" zoomScaleNormal="40" workbookViewId="1">
      <selection activeCell="C46" sqref="C46"/>
    </sheetView>
  </sheetViews>
  <sheetFormatPr defaultRowHeight="14.4"/>
  <cols>
    <col min="2" max="2" width="29.89453125" bestFit="1" customWidth="1"/>
    <col min="3" max="3" width="28.3671875" customWidth="1"/>
    <col min="4" max="14" width="16.7890625" customWidth="1"/>
    <col min="15" max="16" width="11.734375" customWidth="1"/>
    <col min="17" max="17" width="15.3671875" customWidth="1"/>
    <col min="18" max="18" width="15" bestFit="1" customWidth="1"/>
    <col min="19" max="19" width="15" customWidth="1"/>
    <col min="21" max="21" width="20.47265625" customWidth="1"/>
    <col min="22" max="22" width="21" bestFit="1" customWidth="1"/>
  </cols>
  <sheetData>
    <row r="2" spans="2:22">
      <c r="B2" s="333" t="s">
        <v>397</v>
      </c>
      <c r="C2" s="334">
        <v>43560</v>
      </c>
    </row>
    <row r="3" spans="2:22">
      <c r="B3" s="333"/>
      <c r="C3" s="334"/>
    </row>
    <row r="4" spans="2:22">
      <c r="B4" s="335" t="s">
        <v>398</v>
      </c>
    </row>
    <row r="5" spans="2:22" s="338" customFormat="1" ht="35.049999999999997" customHeight="1">
      <c r="B5" s="337" t="s">
        <v>237</v>
      </c>
      <c r="C5" s="337" t="s">
        <v>256</v>
      </c>
      <c r="D5" s="337" t="s">
        <v>252</v>
      </c>
      <c r="E5" s="337" t="s">
        <v>244</v>
      </c>
      <c r="F5" s="337" t="s">
        <v>245</v>
      </c>
      <c r="G5" s="337" t="s">
        <v>246</v>
      </c>
      <c r="H5" s="337" t="s">
        <v>272</v>
      </c>
      <c r="I5" s="337" t="s">
        <v>238</v>
      </c>
      <c r="J5" s="337" t="s">
        <v>124</v>
      </c>
      <c r="K5" s="337" t="s">
        <v>242</v>
      </c>
      <c r="L5" s="337" t="s">
        <v>274</v>
      </c>
      <c r="M5" s="337" t="s">
        <v>239</v>
      </c>
      <c r="N5" s="337" t="s">
        <v>259</v>
      </c>
      <c r="O5" s="337" t="s">
        <v>247</v>
      </c>
      <c r="P5" s="337" t="s">
        <v>263</v>
      </c>
      <c r="Q5" s="337" t="s">
        <v>282</v>
      </c>
      <c r="R5" s="337" t="s">
        <v>248</v>
      </c>
      <c r="S5" s="337" t="s">
        <v>279</v>
      </c>
      <c r="T5" s="337" t="s">
        <v>89</v>
      </c>
      <c r="U5" s="337" t="s">
        <v>278</v>
      </c>
      <c r="V5" s="337" t="s">
        <v>460</v>
      </c>
    </row>
    <row r="6" spans="2:22" ht="22.5" customHeight="1">
      <c r="B6" t="s">
        <v>241</v>
      </c>
      <c r="C6" t="s">
        <v>394</v>
      </c>
      <c r="D6" t="s">
        <v>253</v>
      </c>
      <c r="E6" s="239">
        <v>0.41599999999999998</v>
      </c>
      <c r="F6" s="15">
        <f>$C$2*E6</f>
        <v>18120.96</v>
      </c>
      <c r="G6" s="15">
        <v>12478</v>
      </c>
      <c r="H6" t="s">
        <v>142</v>
      </c>
      <c r="I6" s="238">
        <f>RetailrentalratePSF</f>
        <v>28.732335409342692</v>
      </c>
      <c r="J6" s="238">
        <f>retailopex</f>
        <v>10</v>
      </c>
      <c r="K6" t="s">
        <v>243</v>
      </c>
      <c r="L6" s="336">
        <f>((I6-J6+J6)*(1-Retailvacancy))*G6</f>
        <v>340595.97717588919</v>
      </c>
      <c r="M6">
        <f>retailentrycap</f>
        <v>7.0000000000000007E-2</v>
      </c>
      <c r="N6" s="238">
        <f>L6/M6</f>
        <v>4865656.8167984169</v>
      </c>
      <c r="O6" t="s">
        <v>225</v>
      </c>
      <c r="P6" t="s">
        <v>281</v>
      </c>
      <c r="Q6" t="s">
        <v>281</v>
      </c>
      <c r="R6" s="238">
        <f>demolitionbuildingPSF*G6</f>
        <v>62390</v>
      </c>
      <c r="S6" s="238"/>
      <c r="T6" s="8">
        <v>1</v>
      </c>
      <c r="U6" s="330">
        <f>N6+R6</f>
        <v>4928046.8167984169</v>
      </c>
      <c r="V6" t="s">
        <v>283</v>
      </c>
    </row>
    <row r="7" spans="2:22">
      <c r="B7" t="s">
        <v>255</v>
      </c>
      <c r="C7" t="s">
        <v>257</v>
      </c>
      <c r="D7" t="s">
        <v>254</v>
      </c>
      <c r="E7" s="239">
        <f>F7/C2</f>
        <v>1.9283746556473829</v>
      </c>
      <c r="F7" s="15">
        <f>200*420</f>
        <v>84000</v>
      </c>
      <c r="G7" s="15">
        <v>27416</v>
      </c>
      <c r="H7" t="s">
        <v>258</v>
      </c>
      <c r="I7" s="238">
        <f>OfficemarketratePSF</f>
        <v>30</v>
      </c>
      <c r="J7" s="238">
        <f>officeopex</f>
        <v>10</v>
      </c>
      <c r="K7" t="s">
        <v>243</v>
      </c>
      <c r="L7" s="336">
        <f>((I7-J7+J7)*(1-Officevacancy))*G7</f>
        <v>699108</v>
      </c>
      <c r="M7">
        <f>officeentrycaprate</f>
        <v>7.0000000000000007E-2</v>
      </c>
      <c r="N7" s="238">
        <f>L7/M7</f>
        <v>9987257.1428571418</v>
      </c>
      <c r="O7" t="s">
        <v>225</v>
      </c>
      <c r="P7" t="s">
        <v>281</v>
      </c>
      <c r="Q7" t="s">
        <v>281</v>
      </c>
      <c r="R7" s="238">
        <f>demolitionbuildingPSF*G7</f>
        <v>137080</v>
      </c>
      <c r="S7" s="238"/>
      <c r="T7" s="8">
        <v>1</v>
      </c>
      <c r="U7" s="330">
        <f>N7+R7</f>
        <v>10124337.142857142</v>
      </c>
      <c r="V7" t="s">
        <v>226</v>
      </c>
    </row>
    <row r="8" spans="2:22">
      <c r="B8" t="s">
        <v>264</v>
      </c>
      <c r="C8" t="s">
        <v>393</v>
      </c>
      <c r="D8" t="s">
        <v>265</v>
      </c>
      <c r="E8" s="239"/>
      <c r="F8" s="15"/>
      <c r="G8" s="328">
        <f>(90*90)*3</f>
        <v>24300</v>
      </c>
      <c r="H8" t="s">
        <v>142</v>
      </c>
      <c r="I8" s="238">
        <f>RetailrentalratePSF</f>
        <v>28.732335409342692</v>
      </c>
      <c r="J8" s="238">
        <f>retailopex</f>
        <v>10</v>
      </c>
      <c r="K8" t="s">
        <v>243</v>
      </c>
      <c r="L8" s="336">
        <f>((I8-J8+J8)*(1-Officevacancy))*G8</f>
        <v>593466.38787997328</v>
      </c>
      <c r="M8">
        <f>retailentrycap</f>
        <v>7.0000000000000007E-2</v>
      </c>
      <c r="N8" s="238">
        <f>L8/M8</f>
        <v>8478091.2554281894</v>
      </c>
      <c r="O8" t="s">
        <v>266</v>
      </c>
      <c r="P8" t="s">
        <v>225</v>
      </c>
      <c r="Q8" t="s">
        <v>110</v>
      </c>
      <c r="S8" s="246">
        <f>G8*Repurposecost</f>
        <v>850500</v>
      </c>
      <c r="T8" s="8">
        <v>1</v>
      </c>
      <c r="U8" s="330">
        <f>N8+S8</f>
        <v>9328591.2554281894</v>
      </c>
      <c r="V8" t="s">
        <v>226</v>
      </c>
    </row>
    <row r="9" spans="2:22">
      <c r="B9" t="s">
        <v>260</v>
      </c>
      <c r="C9" t="s">
        <v>395</v>
      </c>
      <c r="D9" t="s">
        <v>262</v>
      </c>
      <c r="E9" s="239"/>
      <c r="F9" s="15"/>
      <c r="G9" s="332">
        <v>18007</v>
      </c>
      <c r="H9" t="s">
        <v>142</v>
      </c>
      <c r="I9" s="238">
        <f>RetailrentalratePSF</f>
        <v>28.732335409342692</v>
      </c>
      <c r="J9" s="238">
        <f>retailopex</f>
        <v>10</v>
      </c>
      <c r="K9" t="s">
        <v>243</v>
      </c>
      <c r="L9" s="336">
        <f>((I9-J9+J9)*(1-Officevacancy))*G9</f>
        <v>439775.68915862875</v>
      </c>
      <c r="M9" s="243" t="s">
        <v>281</v>
      </c>
      <c r="N9" t="s">
        <v>281</v>
      </c>
      <c r="O9" t="s">
        <v>266</v>
      </c>
      <c r="P9" t="s">
        <v>225</v>
      </c>
      <c r="Q9" t="s">
        <v>142</v>
      </c>
      <c r="S9" s="246">
        <f>G9*Repurposecost</f>
        <v>630245</v>
      </c>
      <c r="T9" s="8">
        <v>1</v>
      </c>
      <c r="U9" s="238">
        <f>S9</f>
        <v>630245</v>
      </c>
      <c r="V9" t="s">
        <v>224</v>
      </c>
    </row>
    <row r="10" spans="2:22">
      <c r="B10" t="s">
        <v>261</v>
      </c>
      <c r="C10" t="s">
        <v>396</v>
      </c>
      <c r="D10" t="s">
        <v>262</v>
      </c>
      <c r="E10" s="239"/>
      <c r="F10" s="15"/>
      <c r="G10" s="328">
        <f>6850+768</f>
        <v>7618</v>
      </c>
      <c r="H10" t="s">
        <v>142</v>
      </c>
      <c r="I10" t="s">
        <v>281</v>
      </c>
      <c r="J10" s="238" t="s">
        <v>281</v>
      </c>
      <c r="K10" t="s">
        <v>281</v>
      </c>
      <c r="L10" s="336" t="s">
        <v>281</v>
      </c>
      <c r="M10" t="s">
        <v>281</v>
      </c>
      <c r="N10" t="s">
        <v>281</v>
      </c>
      <c r="O10" t="s">
        <v>225</v>
      </c>
      <c r="P10" t="s">
        <v>281</v>
      </c>
      <c r="Q10" t="s">
        <v>281</v>
      </c>
      <c r="R10" s="238">
        <f>demolitionbuildingPSF*G10</f>
        <v>38090</v>
      </c>
      <c r="T10" s="8">
        <v>1</v>
      </c>
      <c r="U10" s="238">
        <f>G10*Repurposecost</f>
        <v>266630</v>
      </c>
      <c r="V10" t="s">
        <v>331</v>
      </c>
    </row>
    <row r="13" spans="2:2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2:2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2">
      <c r="B15" s="248" t="s">
        <v>392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345"/>
    </row>
    <row r="16" spans="2:22">
      <c r="B16" s="8"/>
      <c r="C16" s="8"/>
      <c r="D16" s="8"/>
      <c r="E16" s="8"/>
      <c r="F16" s="8"/>
      <c r="G16" s="32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2:2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2:2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2:2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2:21"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</row>
    <row r="23" spans="2:2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21">
      <c r="B24" s="8"/>
      <c r="C24" s="8"/>
      <c r="D24" s="8"/>
      <c r="E24" s="8"/>
      <c r="F24" s="8"/>
      <c r="G24" s="329"/>
      <c r="H24" s="8"/>
      <c r="I24" s="330"/>
      <c r="J24" s="8"/>
      <c r="K24" s="8"/>
      <c r="L24" s="330"/>
      <c r="M24" s="331"/>
      <c r="N24" s="8"/>
      <c r="O24" s="8"/>
      <c r="P24" s="8"/>
      <c r="Q24" s="8"/>
      <c r="R24" s="8"/>
      <c r="S24" s="8"/>
      <c r="T24" s="8"/>
      <c r="U24" s="8"/>
    </row>
    <row r="25" spans="2:2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2:2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2:2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>
      <c r="B30" s="8"/>
      <c r="C30" s="8"/>
      <c r="D30" s="8"/>
    </row>
    <row r="31" spans="2:21">
      <c r="B31" s="8"/>
      <c r="C31" s="8"/>
      <c r="D31" s="8"/>
    </row>
    <row r="32" spans="2:21">
      <c r="B32" s="8"/>
      <c r="C32" s="8"/>
      <c r="D32" s="8"/>
    </row>
    <row r="33" spans="2:4">
      <c r="B33" s="8"/>
      <c r="C33" s="8"/>
      <c r="D33" s="8"/>
    </row>
    <row r="34" spans="2:4">
      <c r="B34" s="8"/>
      <c r="C34" s="8"/>
      <c r="D34" s="8"/>
    </row>
    <row r="35" spans="2:4">
      <c r="B35" s="8"/>
      <c r="C35" s="328"/>
      <c r="D35" s="8"/>
    </row>
    <row r="36" spans="2:4">
      <c r="B36" s="8"/>
      <c r="C36" s="328"/>
      <c r="D36" s="8"/>
    </row>
    <row r="37" spans="2:4">
      <c r="B37" s="8"/>
      <c r="C37" s="328"/>
      <c r="D37" s="8"/>
    </row>
    <row r="38" spans="2:4">
      <c r="B38" s="8"/>
      <c r="C38" s="8"/>
      <c r="D38" s="8"/>
    </row>
    <row r="39" spans="2:4">
      <c r="B39" s="8"/>
      <c r="C39" s="8"/>
      <c r="D39" s="8"/>
    </row>
    <row r="40" spans="2:4">
      <c r="B40" s="8"/>
      <c r="C40" s="8"/>
      <c r="D40" s="8"/>
    </row>
    <row r="41" spans="2:4">
      <c r="B41" s="8"/>
      <c r="C41" s="8"/>
      <c r="D41" s="8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92609-3F12-40E2-8CE2-A67F6234B54E}">
  <sheetPr>
    <tabColor theme="2" tint="-0.249977111117893"/>
  </sheetPr>
  <dimension ref="B2:M24"/>
  <sheetViews>
    <sheetView showGridLines="0" zoomScale="70" zoomScaleNormal="70" workbookViewId="0">
      <selection activeCell="F29" sqref="F29"/>
    </sheetView>
    <sheetView view="pageBreakPreview" topLeftCell="C1" zoomScale="85" zoomScaleNormal="70" zoomScaleSheetLayoutView="85" workbookViewId="1">
      <selection activeCell="J4" sqref="J4"/>
    </sheetView>
  </sheetViews>
  <sheetFormatPr defaultColWidth="8.734375" defaultRowHeight="10.5"/>
  <cols>
    <col min="1" max="1" width="8.734375" style="177"/>
    <col min="2" max="2" width="20.47265625" style="177" customWidth="1"/>
    <col min="3" max="3" width="24.7890625" style="177" customWidth="1"/>
    <col min="4" max="4" width="25.26171875" style="177" customWidth="1"/>
    <col min="5" max="5" width="7.62890625" style="177" customWidth="1"/>
    <col min="6" max="6" width="15.5234375" style="177" customWidth="1"/>
    <col min="7" max="7" width="12.62890625" style="177" customWidth="1"/>
    <col min="8" max="8" width="15.734375" style="177" customWidth="1"/>
    <col min="9" max="9" width="15.5234375" style="177" customWidth="1"/>
    <col min="10" max="10" width="21.3671875" style="177" customWidth="1"/>
    <col min="11" max="11" width="11.1015625" style="177" bestFit="1" customWidth="1"/>
    <col min="12" max="12" width="10.3671875" style="177" bestFit="1" customWidth="1"/>
    <col min="13" max="13" width="9.15625" style="177" bestFit="1" customWidth="1"/>
    <col min="14" max="16384" width="8.734375" style="177"/>
  </cols>
  <sheetData>
    <row r="2" spans="2:13">
      <c r="K2" s="632" t="s">
        <v>89</v>
      </c>
      <c r="L2" s="632"/>
      <c r="M2" s="632"/>
    </row>
    <row r="3" spans="2:13">
      <c r="B3" s="269" t="s">
        <v>113</v>
      </c>
      <c r="C3" s="269" t="s">
        <v>256</v>
      </c>
      <c r="D3" s="269"/>
      <c r="E3" s="269" t="s">
        <v>89</v>
      </c>
      <c r="F3" s="269" t="s">
        <v>309</v>
      </c>
      <c r="G3" s="269" t="s">
        <v>318</v>
      </c>
      <c r="H3" s="269" t="s">
        <v>210</v>
      </c>
      <c r="I3" s="269" t="s">
        <v>321</v>
      </c>
      <c r="J3" s="269" t="s">
        <v>278</v>
      </c>
      <c r="K3" s="269">
        <v>1</v>
      </c>
      <c r="L3" s="269">
        <v>2</v>
      </c>
      <c r="M3" s="269">
        <v>3</v>
      </c>
    </row>
    <row r="4" spans="2:13">
      <c r="B4" s="177" t="s">
        <v>305</v>
      </c>
      <c r="D4" s="177" t="s">
        <v>465</v>
      </c>
      <c r="E4" s="266">
        <v>1</v>
      </c>
      <c r="F4" s="177" t="s">
        <v>303</v>
      </c>
      <c r="G4" s="177" t="s">
        <v>324</v>
      </c>
      <c r="H4" s="270">
        <f>(983+633)*120</f>
        <v>193920</v>
      </c>
      <c r="I4" s="267">
        <v>12.5</v>
      </c>
      <c r="J4" s="268">
        <f>H4*I4</f>
        <v>2424000</v>
      </c>
      <c r="K4" s="277">
        <f t="shared" ref="K4:M23" si="0">IF($E4=K$3,$J4,0)*(1+Developerfee)</f>
        <v>2787600</v>
      </c>
      <c r="L4" s="277">
        <f t="shared" si="0"/>
        <v>0</v>
      </c>
      <c r="M4" s="277">
        <f t="shared" si="0"/>
        <v>0</v>
      </c>
    </row>
    <row r="5" spans="2:13">
      <c r="B5" s="177" t="s">
        <v>307</v>
      </c>
      <c r="C5" s="177" t="s">
        <v>308</v>
      </c>
      <c r="D5" s="177" t="s">
        <v>465</v>
      </c>
      <c r="E5" s="266">
        <v>1</v>
      </c>
      <c r="F5" s="177" t="s">
        <v>303</v>
      </c>
      <c r="G5" s="177" t="s">
        <v>319</v>
      </c>
      <c r="H5" s="270"/>
      <c r="I5" s="267"/>
      <c r="J5" s="268">
        <v>500000</v>
      </c>
      <c r="K5" s="277">
        <f t="shared" si="0"/>
        <v>575000</v>
      </c>
      <c r="L5" s="277">
        <f t="shared" si="0"/>
        <v>0</v>
      </c>
      <c r="M5" s="277">
        <f t="shared" si="0"/>
        <v>0</v>
      </c>
    </row>
    <row r="6" spans="2:13">
      <c r="B6" s="177" t="s">
        <v>310</v>
      </c>
      <c r="D6" s="177" t="s">
        <v>466</v>
      </c>
      <c r="E6" s="266">
        <v>1</v>
      </c>
      <c r="F6" s="177" t="s">
        <v>303</v>
      </c>
      <c r="G6" s="177" t="s">
        <v>319</v>
      </c>
      <c r="H6" s="270"/>
      <c r="I6" s="267"/>
      <c r="J6" s="268">
        <v>35000000</v>
      </c>
      <c r="K6" s="277">
        <f t="shared" si="0"/>
        <v>40250000</v>
      </c>
      <c r="L6" s="277">
        <f t="shared" si="0"/>
        <v>0</v>
      </c>
      <c r="M6" s="277">
        <f t="shared" si="0"/>
        <v>0</v>
      </c>
    </row>
    <row r="7" spans="2:13">
      <c r="B7" s="177" t="s">
        <v>311</v>
      </c>
      <c r="D7" s="177" t="s">
        <v>466</v>
      </c>
      <c r="E7" s="266">
        <v>1</v>
      </c>
      <c r="F7" s="177" t="s">
        <v>303</v>
      </c>
      <c r="G7" s="177" t="s">
        <v>319</v>
      </c>
      <c r="H7" s="270"/>
      <c r="I7" s="267"/>
      <c r="J7" s="268">
        <v>10000000</v>
      </c>
      <c r="K7" s="277">
        <f t="shared" si="0"/>
        <v>11500000</v>
      </c>
      <c r="L7" s="277">
        <f t="shared" si="0"/>
        <v>0</v>
      </c>
      <c r="M7" s="277">
        <f t="shared" si="0"/>
        <v>0</v>
      </c>
    </row>
    <row r="8" spans="2:13">
      <c r="B8" s="177" t="s">
        <v>306</v>
      </c>
      <c r="C8" s="177" t="s">
        <v>320</v>
      </c>
      <c r="D8" s="177" t="s">
        <v>306</v>
      </c>
      <c r="E8" s="266"/>
      <c r="G8" s="177" t="s">
        <v>324</v>
      </c>
      <c r="H8" s="270">
        <f>SUM(H12:H17)</f>
        <v>567840</v>
      </c>
      <c r="I8" s="267"/>
      <c r="J8" s="268"/>
      <c r="K8" s="277">
        <f t="shared" si="0"/>
        <v>0</v>
      </c>
      <c r="L8" s="277">
        <f t="shared" si="0"/>
        <v>0</v>
      </c>
      <c r="M8" s="277">
        <f t="shared" si="0"/>
        <v>0</v>
      </c>
    </row>
    <row r="9" spans="2:13">
      <c r="B9" s="278" t="s">
        <v>221</v>
      </c>
      <c r="C9" s="553">
        <v>0.6</v>
      </c>
      <c r="D9" s="177" t="s">
        <v>306</v>
      </c>
      <c r="E9" s="266">
        <v>1</v>
      </c>
      <c r="F9" s="177" t="s">
        <v>303</v>
      </c>
      <c r="H9" s="270">
        <f>$H$8*C9</f>
        <v>340704</v>
      </c>
      <c r="I9" s="267">
        <v>6</v>
      </c>
      <c r="J9" s="268">
        <f>H9*I9</f>
        <v>2044224</v>
      </c>
      <c r="K9" s="277">
        <f t="shared" si="0"/>
        <v>2350857.5999999996</v>
      </c>
      <c r="L9" s="277">
        <f t="shared" si="0"/>
        <v>0</v>
      </c>
      <c r="M9" s="277">
        <f t="shared" si="0"/>
        <v>0</v>
      </c>
    </row>
    <row r="10" spans="2:13">
      <c r="B10" s="278" t="s">
        <v>222</v>
      </c>
      <c r="C10" s="553">
        <v>0.3</v>
      </c>
      <c r="D10" s="177" t="s">
        <v>306</v>
      </c>
      <c r="E10" s="266">
        <v>2</v>
      </c>
      <c r="F10" s="177" t="s">
        <v>303</v>
      </c>
      <c r="H10" s="270">
        <f>$H$8*C10</f>
        <v>170352</v>
      </c>
      <c r="I10" s="267">
        <v>6</v>
      </c>
      <c r="J10" s="268">
        <f t="shared" ref="J10:J11" si="1">H10*I10</f>
        <v>1022112</v>
      </c>
      <c r="K10" s="277">
        <f t="shared" si="0"/>
        <v>0</v>
      </c>
      <c r="L10" s="277">
        <f t="shared" si="0"/>
        <v>1175428.7999999998</v>
      </c>
      <c r="M10" s="277">
        <f t="shared" si="0"/>
        <v>0</v>
      </c>
    </row>
    <row r="11" spans="2:13">
      <c r="B11" s="278" t="s">
        <v>326</v>
      </c>
      <c r="C11" s="553">
        <v>0.1</v>
      </c>
      <c r="D11" s="177" t="s">
        <v>306</v>
      </c>
      <c r="E11" s="266">
        <v>3</v>
      </c>
      <c r="F11" s="177" t="s">
        <v>303</v>
      </c>
      <c r="H11" s="270">
        <f>$H$8*C11</f>
        <v>56784</v>
      </c>
      <c r="I11" s="267">
        <v>6</v>
      </c>
      <c r="J11" s="268">
        <f t="shared" si="1"/>
        <v>340704</v>
      </c>
      <c r="K11" s="277">
        <f t="shared" si="0"/>
        <v>0</v>
      </c>
      <c r="L11" s="277">
        <f t="shared" si="0"/>
        <v>0</v>
      </c>
      <c r="M11" s="277">
        <f t="shared" si="0"/>
        <v>391809.6</v>
      </c>
    </row>
    <row r="12" spans="2:13">
      <c r="B12" s="177" t="s">
        <v>312</v>
      </c>
      <c r="C12" s="177" t="s">
        <v>313</v>
      </c>
      <c r="D12" s="177" t="s">
        <v>468</v>
      </c>
      <c r="E12" s="266">
        <v>1</v>
      </c>
      <c r="F12" s="177" t="s">
        <v>303</v>
      </c>
      <c r="G12" s="177" t="s">
        <v>324</v>
      </c>
      <c r="H12" s="270">
        <f>1692*80</f>
        <v>135360</v>
      </c>
      <c r="I12" s="267">
        <v>10</v>
      </c>
      <c r="J12" s="268">
        <f>H12*I12</f>
        <v>1353600</v>
      </c>
      <c r="K12" s="277">
        <f t="shared" si="0"/>
        <v>1556639.9999999998</v>
      </c>
      <c r="L12" s="277">
        <f t="shared" si="0"/>
        <v>0</v>
      </c>
      <c r="M12" s="277">
        <f t="shared" si="0"/>
        <v>0</v>
      </c>
    </row>
    <row r="13" spans="2:13">
      <c r="B13" s="177" t="s">
        <v>314</v>
      </c>
      <c r="C13" s="177" t="s">
        <v>313</v>
      </c>
      <c r="D13" s="177" t="s">
        <v>468</v>
      </c>
      <c r="E13" s="266">
        <v>1</v>
      </c>
      <c r="F13" s="177" t="s">
        <v>303</v>
      </c>
      <c r="G13" s="177" t="s">
        <v>324</v>
      </c>
      <c r="H13" s="270">
        <f>590*80</f>
        <v>47200</v>
      </c>
      <c r="I13" s="267">
        <v>10</v>
      </c>
      <c r="J13" s="268">
        <f t="shared" ref="J13:J15" si="2">H13*I13</f>
        <v>472000</v>
      </c>
      <c r="K13" s="277">
        <f t="shared" si="0"/>
        <v>542800</v>
      </c>
      <c r="L13" s="277">
        <f t="shared" si="0"/>
        <v>0</v>
      </c>
      <c r="M13" s="277">
        <f t="shared" si="0"/>
        <v>0</v>
      </c>
    </row>
    <row r="14" spans="2:13">
      <c r="B14" s="177" t="s">
        <v>315</v>
      </c>
      <c r="C14" s="177" t="s">
        <v>313</v>
      </c>
      <c r="D14" s="177" t="s">
        <v>468</v>
      </c>
      <c r="E14" s="266">
        <v>1</v>
      </c>
      <c r="F14" s="177" t="s">
        <v>303</v>
      </c>
      <c r="G14" s="177" t="s">
        <v>324</v>
      </c>
      <c r="H14" s="270">
        <f>590*80</f>
        <v>47200</v>
      </c>
      <c r="I14" s="267">
        <v>10</v>
      </c>
      <c r="J14" s="268">
        <f t="shared" si="2"/>
        <v>472000</v>
      </c>
      <c r="K14" s="277">
        <f t="shared" si="0"/>
        <v>542800</v>
      </c>
      <c r="L14" s="277">
        <f t="shared" si="0"/>
        <v>0</v>
      </c>
      <c r="M14" s="277">
        <f t="shared" si="0"/>
        <v>0</v>
      </c>
    </row>
    <row r="15" spans="2:13">
      <c r="B15" s="177" t="s">
        <v>325</v>
      </c>
      <c r="C15" s="177" t="s">
        <v>313</v>
      </c>
      <c r="D15" s="177" t="s">
        <v>468</v>
      </c>
      <c r="E15" s="266">
        <v>1</v>
      </c>
      <c r="F15" s="177" t="s">
        <v>303</v>
      </c>
      <c r="G15" s="177" t="s">
        <v>324</v>
      </c>
      <c r="H15" s="270">
        <f>510*80</f>
        <v>40800</v>
      </c>
      <c r="I15" s="267">
        <v>10</v>
      </c>
      <c r="J15" s="268">
        <f t="shared" si="2"/>
        <v>408000</v>
      </c>
      <c r="K15" s="277">
        <f t="shared" si="0"/>
        <v>469199.99999999994</v>
      </c>
      <c r="L15" s="277">
        <f t="shared" si="0"/>
        <v>0</v>
      </c>
      <c r="M15" s="277">
        <f t="shared" si="0"/>
        <v>0</v>
      </c>
    </row>
    <row r="16" spans="2:13">
      <c r="B16" s="177" t="s">
        <v>316</v>
      </c>
      <c r="C16" s="177" t="s">
        <v>313</v>
      </c>
      <c r="D16" s="177" t="s">
        <v>468</v>
      </c>
      <c r="E16" s="266">
        <v>1</v>
      </c>
      <c r="F16" s="177" t="s">
        <v>303</v>
      </c>
      <c r="G16" s="177" t="s">
        <v>324</v>
      </c>
      <c r="H16" s="270">
        <f>1858*80</f>
        <v>148640</v>
      </c>
      <c r="I16" s="267">
        <v>10</v>
      </c>
      <c r="J16" s="268">
        <f t="shared" ref="J16:J17" si="3">H16*I16</f>
        <v>1486400</v>
      </c>
      <c r="K16" s="277">
        <f t="shared" si="0"/>
        <v>1709359.9999999998</v>
      </c>
      <c r="L16" s="277">
        <f t="shared" si="0"/>
        <v>0</v>
      </c>
      <c r="M16" s="277">
        <f t="shared" si="0"/>
        <v>0</v>
      </c>
    </row>
    <row r="17" spans="2:13">
      <c r="B17" s="177" t="s">
        <v>317</v>
      </c>
      <c r="C17" s="177" t="s">
        <v>313</v>
      </c>
      <c r="D17" s="177" t="s">
        <v>468</v>
      </c>
      <c r="E17" s="266">
        <v>1</v>
      </c>
      <c r="F17" s="177" t="s">
        <v>303</v>
      </c>
      <c r="G17" s="177" t="s">
        <v>324</v>
      </c>
      <c r="H17" s="270">
        <f>1858*80</f>
        <v>148640</v>
      </c>
      <c r="I17" s="267">
        <v>10</v>
      </c>
      <c r="J17" s="268">
        <f t="shared" si="3"/>
        <v>1486400</v>
      </c>
      <c r="K17" s="277">
        <f t="shared" si="0"/>
        <v>1709359.9999999998</v>
      </c>
      <c r="L17" s="277">
        <f t="shared" si="0"/>
        <v>0</v>
      </c>
      <c r="M17" s="277">
        <f t="shared" si="0"/>
        <v>0</v>
      </c>
    </row>
    <row r="18" spans="2:13">
      <c r="B18" s="177" t="s">
        <v>467</v>
      </c>
      <c r="C18" s="177" t="s">
        <v>533</v>
      </c>
      <c r="D18" s="177" t="s">
        <v>467</v>
      </c>
      <c r="E18" s="266"/>
      <c r="G18" s="177" t="s">
        <v>319</v>
      </c>
      <c r="H18" s="270"/>
      <c r="I18" s="268">
        <v>2500000</v>
      </c>
      <c r="K18" s="277">
        <f t="shared" si="0"/>
        <v>0</v>
      </c>
      <c r="L18" s="277">
        <f t="shared" si="0"/>
        <v>0</v>
      </c>
      <c r="M18" s="277">
        <f t="shared" si="0"/>
        <v>0</v>
      </c>
    </row>
    <row r="19" spans="2:13">
      <c r="B19" s="278" t="s">
        <v>221</v>
      </c>
      <c r="C19" s="553">
        <v>0.6</v>
      </c>
      <c r="D19" s="177" t="s">
        <v>467</v>
      </c>
      <c r="E19" s="266">
        <v>1</v>
      </c>
      <c r="F19" s="177" t="s">
        <v>303</v>
      </c>
      <c r="H19" s="270">
        <f>H18*0.6</f>
        <v>0</v>
      </c>
      <c r="I19" s="267"/>
      <c r="J19" s="268">
        <f>$I$18*C19</f>
        <v>1500000</v>
      </c>
      <c r="K19" s="277">
        <f t="shared" si="0"/>
        <v>1724999.9999999998</v>
      </c>
      <c r="L19" s="277">
        <f t="shared" si="0"/>
        <v>0</v>
      </c>
      <c r="M19" s="277">
        <f t="shared" si="0"/>
        <v>0</v>
      </c>
    </row>
    <row r="20" spans="2:13">
      <c r="B20" s="278" t="s">
        <v>222</v>
      </c>
      <c r="C20" s="553">
        <v>0.3</v>
      </c>
      <c r="D20" s="177" t="s">
        <v>467</v>
      </c>
      <c r="E20" s="266">
        <v>2</v>
      </c>
      <c r="F20" s="177" t="s">
        <v>303</v>
      </c>
      <c r="H20" s="270">
        <f>H18*0.3</f>
        <v>0</v>
      </c>
      <c r="I20" s="267"/>
      <c r="J20" s="268">
        <f>$I$18*C20</f>
        <v>750000</v>
      </c>
      <c r="K20" s="277">
        <f t="shared" si="0"/>
        <v>0</v>
      </c>
      <c r="L20" s="277">
        <f t="shared" si="0"/>
        <v>862499.99999999988</v>
      </c>
      <c r="M20" s="277">
        <f t="shared" si="0"/>
        <v>0</v>
      </c>
    </row>
    <row r="21" spans="2:13">
      <c r="B21" s="278" t="s">
        <v>326</v>
      </c>
      <c r="C21" s="553">
        <v>0.1</v>
      </c>
      <c r="D21" s="177" t="s">
        <v>467</v>
      </c>
      <c r="E21" s="266">
        <v>3</v>
      </c>
      <c r="F21" s="177" t="s">
        <v>303</v>
      </c>
      <c r="H21" s="270">
        <f>H18*0.1</f>
        <v>0</v>
      </c>
      <c r="I21" s="267"/>
      <c r="J21" s="268">
        <f>$I$18*C21</f>
        <v>250000</v>
      </c>
      <c r="K21" s="277">
        <f t="shared" si="0"/>
        <v>0</v>
      </c>
      <c r="L21" s="277">
        <f t="shared" si="0"/>
        <v>0</v>
      </c>
      <c r="M21" s="277">
        <f t="shared" si="0"/>
        <v>287500</v>
      </c>
    </row>
    <row r="22" spans="2:13">
      <c r="B22" s="177" t="s">
        <v>327</v>
      </c>
      <c r="C22" s="568"/>
      <c r="D22" s="177" t="s">
        <v>465</v>
      </c>
      <c r="E22" s="568">
        <v>1</v>
      </c>
      <c r="F22" s="568"/>
      <c r="G22" s="568"/>
      <c r="H22" s="569"/>
      <c r="I22" s="570"/>
      <c r="J22" s="571">
        <v>2000000</v>
      </c>
      <c r="K22" s="277">
        <f t="shared" si="0"/>
        <v>2300000</v>
      </c>
      <c r="L22" s="277">
        <f t="shared" si="0"/>
        <v>0</v>
      </c>
      <c r="M22" s="277">
        <f t="shared" si="0"/>
        <v>0</v>
      </c>
    </row>
    <row r="23" spans="2:13">
      <c r="B23" s="271" t="s">
        <v>322</v>
      </c>
      <c r="C23" s="271" t="s">
        <v>323</v>
      </c>
      <c r="D23" s="271" t="s">
        <v>465</v>
      </c>
      <c r="E23" s="272">
        <v>1</v>
      </c>
      <c r="F23" s="271" t="s">
        <v>303</v>
      </c>
      <c r="G23" s="271" t="s">
        <v>319</v>
      </c>
      <c r="H23" s="273"/>
      <c r="I23" s="274"/>
      <c r="J23" s="275">
        <v>3000000</v>
      </c>
      <c r="K23" s="277">
        <f t="shared" si="0"/>
        <v>3449999.9999999995</v>
      </c>
      <c r="L23" s="277">
        <f t="shared" si="0"/>
        <v>0</v>
      </c>
      <c r="M23" s="277">
        <f t="shared" si="0"/>
        <v>0</v>
      </c>
    </row>
    <row r="24" spans="2:13">
      <c r="J24" s="276">
        <f>SUM(J4:J23)</f>
        <v>64509440</v>
      </c>
      <c r="K24" s="277">
        <f>SUM(K4:K23)</f>
        <v>71468617.599999994</v>
      </c>
      <c r="L24" s="277">
        <f t="shared" ref="L24:M24" si="4">SUM(L4:L23)</f>
        <v>2037928.7999999998</v>
      </c>
      <c r="M24" s="277">
        <f t="shared" si="4"/>
        <v>679309.6</v>
      </c>
    </row>
  </sheetData>
  <mergeCells count="1">
    <mergeCell ref="K2:M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F52C75-91B7-4644-97C0-518DE7D17226}">
          <x14:formula1>
            <xm:f>'Summary Board'!$B$97:$B$101</xm:f>
          </x14:formula1>
          <xm:sqref>D4:D23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F149-37D9-45BA-AF68-3C73BE4D15A9}">
  <sheetPr>
    <tabColor theme="3" tint="-0.249977111117893"/>
  </sheetPr>
  <dimension ref="B5"/>
  <sheetViews>
    <sheetView showGridLines="0" zoomScale="70" zoomScaleNormal="70" workbookViewId="0">
      <selection activeCell="G15" sqref="G15"/>
    </sheetView>
    <sheetView workbookViewId="1"/>
  </sheetViews>
  <sheetFormatPr defaultRowHeight="14.4"/>
  <sheetData>
    <row r="5" spans="2:2">
      <c r="B5" s="201" t="s"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ABA2-B981-435E-865C-1D20FC23F4AC}">
  <dimension ref="A1:AR46"/>
  <sheetViews>
    <sheetView workbookViewId="0">
      <selection activeCell="C14" sqref="C14"/>
    </sheetView>
    <sheetView workbookViewId="1"/>
  </sheetViews>
  <sheetFormatPr defaultRowHeight="14.4"/>
  <cols>
    <col min="1" max="1" width="20.7890625" bestFit="1" customWidth="1"/>
    <col min="2" max="5" width="14.1015625" bestFit="1" customWidth="1"/>
    <col min="6" max="6" width="11.62890625" bestFit="1" customWidth="1"/>
    <col min="7" max="7" width="17.3671875" bestFit="1" customWidth="1"/>
    <col min="8" max="12" width="14.1015625" bestFit="1" customWidth="1"/>
    <col min="13" max="13" width="12.89453125" bestFit="1" customWidth="1"/>
    <col min="14" max="15" width="14.1015625" bestFit="1" customWidth="1"/>
    <col min="16" max="16" width="12.89453125" bestFit="1" customWidth="1"/>
    <col min="17" max="17" width="14.1015625" bestFit="1" customWidth="1"/>
    <col min="18" max="19" width="12.89453125" bestFit="1" customWidth="1"/>
    <col min="20" max="20" width="14.1015625" bestFit="1" customWidth="1"/>
    <col min="21" max="21" width="30.15625" bestFit="1" customWidth="1"/>
    <col min="22" max="22" width="14.1015625" bestFit="1" customWidth="1"/>
    <col min="23" max="24" width="12.89453125" bestFit="1" customWidth="1"/>
    <col min="25" max="25" width="13.7890625" bestFit="1" customWidth="1"/>
    <col min="26" max="26" width="13.89453125" bestFit="1" customWidth="1"/>
    <col min="27" max="29" width="14.1015625" bestFit="1" customWidth="1"/>
    <col min="30" max="32" width="12.89453125" bestFit="1" customWidth="1"/>
    <col min="33" max="34" width="11.5234375" bestFit="1" customWidth="1"/>
    <col min="37" max="37" width="16.1015625" style="15" bestFit="1" customWidth="1"/>
    <col min="39" max="39" width="24" bestFit="1" customWidth="1"/>
    <col min="40" max="40" width="25.1015625" bestFit="1" customWidth="1"/>
    <col min="41" max="41" width="39.89453125" bestFit="1" customWidth="1"/>
    <col min="42" max="42" width="14.1015625" bestFit="1" customWidth="1"/>
    <col min="43" max="43" width="12.89453125" bestFit="1" customWidth="1"/>
  </cols>
  <sheetData>
    <row r="1" spans="1:42">
      <c r="M1" t="s">
        <v>88</v>
      </c>
    </row>
    <row r="2" spans="1:42" ht="20.399999999999999">
      <c r="B2" t="s">
        <v>0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s="1" t="s">
        <v>24</v>
      </c>
      <c r="K2" s="1" t="s">
        <v>25</v>
      </c>
      <c r="L2" t="s">
        <v>26</v>
      </c>
      <c r="M2" s="39" t="s">
        <v>27</v>
      </c>
      <c r="N2" s="1" t="s">
        <v>28</v>
      </c>
      <c r="O2" s="1" t="s">
        <v>12</v>
      </c>
      <c r="P2" s="1" t="s">
        <v>13</v>
      </c>
      <c r="Q2" s="1" t="s">
        <v>14</v>
      </c>
      <c r="R2" s="1" t="s">
        <v>20</v>
      </c>
      <c r="S2" s="8" t="s">
        <v>29</v>
      </c>
      <c r="T2" s="8" t="s">
        <v>30</v>
      </c>
      <c r="U2" s="8" t="s">
        <v>21</v>
      </c>
      <c r="V2" s="8" t="s">
        <v>22</v>
      </c>
      <c r="W2" s="1" t="s">
        <v>31</v>
      </c>
      <c r="X2" s="8" t="s">
        <v>32</v>
      </c>
      <c r="Y2" s="8" t="s">
        <v>33</v>
      </c>
      <c r="Z2" s="8" t="s">
        <v>34</v>
      </c>
      <c r="AA2" s="37" t="s">
        <v>39</v>
      </c>
      <c r="AB2" s="37" t="s">
        <v>40</v>
      </c>
      <c r="AC2" s="37" t="s">
        <v>41</v>
      </c>
      <c r="AD2" s="8" t="s">
        <v>42</v>
      </c>
      <c r="AE2" s="8" t="s">
        <v>43</v>
      </c>
      <c r="AF2" s="8" t="s">
        <v>59</v>
      </c>
      <c r="AG2" s="8" t="s">
        <v>60</v>
      </c>
      <c r="AH2" s="8" t="s">
        <v>61</v>
      </c>
      <c r="AI2" s="8" t="s">
        <v>65</v>
      </c>
      <c r="AK2" s="14" t="s">
        <v>73</v>
      </c>
      <c r="AM2" s="11" t="s">
        <v>74</v>
      </c>
      <c r="AN2" s="11" t="s">
        <v>75</v>
      </c>
      <c r="AO2" t="s">
        <v>80</v>
      </c>
      <c r="AP2" t="s">
        <v>81</v>
      </c>
    </row>
    <row r="3" spans="1:42" ht="20.399999999999999">
      <c r="A3" t="s">
        <v>90</v>
      </c>
      <c r="J3" s="1"/>
      <c r="K3" s="1"/>
      <c r="M3" s="39"/>
      <c r="N3" s="1"/>
      <c r="O3" s="1"/>
      <c r="P3" s="1"/>
      <c r="Q3" s="1"/>
      <c r="R3" s="1"/>
      <c r="S3" s="8"/>
      <c r="T3" s="8"/>
      <c r="U3" s="8"/>
      <c r="V3" s="8"/>
      <c r="W3" s="1"/>
      <c r="X3" s="8"/>
      <c r="Y3" s="8"/>
      <c r="Z3" s="8"/>
      <c r="AA3" s="37"/>
      <c r="AB3" s="37"/>
      <c r="AC3" s="37"/>
      <c r="AD3" s="8"/>
      <c r="AE3" s="8"/>
      <c r="AF3" s="8"/>
      <c r="AG3" s="8"/>
      <c r="AH3" s="8"/>
      <c r="AI3" s="8"/>
      <c r="AK3" s="14"/>
      <c r="AM3" s="11"/>
      <c r="AN3" s="11"/>
    </row>
    <row r="4" spans="1:42" ht="20.399999999999999">
      <c r="A4" t="s">
        <v>89</v>
      </c>
      <c r="J4" s="1"/>
      <c r="K4" s="1"/>
      <c r="M4" s="39"/>
      <c r="N4" s="1"/>
      <c r="O4" s="1"/>
      <c r="P4" s="1"/>
      <c r="Q4" s="1"/>
      <c r="R4" s="1"/>
      <c r="S4" s="8"/>
      <c r="T4" s="8"/>
      <c r="U4" s="8"/>
      <c r="V4" s="8"/>
      <c r="W4" s="1"/>
      <c r="X4" s="8"/>
      <c r="Y4" s="8"/>
      <c r="Z4" s="8"/>
      <c r="AA4" s="37"/>
      <c r="AB4" s="37"/>
      <c r="AC4" s="37"/>
      <c r="AD4" s="8"/>
      <c r="AE4" s="8"/>
      <c r="AF4" s="8"/>
      <c r="AG4" s="8"/>
      <c r="AH4" s="8"/>
      <c r="AI4" s="8"/>
      <c r="AK4" s="14"/>
      <c r="AM4" s="11"/>
      <c r="AN4" s="11"/>
    </row>
    <row r="5" spans="1:42" ht="20.399999999999999">
      <c r="J5" s="1"/>
      <c r="K5" s="1"/>
      <c r="M5" s="39"/>
      <c r="N5" s="1"/>
      <c r="O5" s="1"/>
      <c r="P5" s="1"/>
      <c r="Q5" s="1"/>
      <c r="R5" s="1"/>
      <c r="S5" s="8"/>
      <c r="T5" s="8"/>
      <c r="U5" s="8"/>
      <c r="V5" s="8"/>
      <c r="W5" s="1"/>
      <c r="X5" s="8"/>
      <c r="Y5" s="8"/>
      <c r="Z5" s="8"/>
      <c r="AA5" s="37"/>
      <c r="AB5" s="37"/>
      <c r="AC5" s="37"/>
      <c r="AD5" s="8"/>
      <c r="AE5" s="8"/>
      <c r="AF5" s="8"/>
      <c r="AG5" s="8"/>
      <c r="AH5" s="8"/>
      <c r="AI5" s="8"/>
      <c r="AK5" s="14"/>
      <c r="AM5" s="11"/>
      <c r="AN5" s="11"/>
    </row>
    <row r="6" spans="1:42">
      <c r="A6" t="s">
        <v>4</v>
      </c>
      <c r="F6">
        <v>8189.8090000000002</v>
      </c>
      <c r="G6">
        <v>18112.6119</v>
      </c>
      <c r="H6">
        <v>26442.238300000001</v>
      </c>
      <c r="J6">
        <v>45585.159900000006</v>
      </c>
      <c r="K6">
        <v>32739.437600000001</v>
      </c>
      <c r="L6">
        <v>10751.0437</v>
      </c>
      <c r="M6">
        <v>11566.6585</v>
      </c>
      <c r="N6">
        <v>46332.135399999999</v>
      </c>
      <c r="O6">
        <v>21932.8714</v>
      </c>
      <c r="P6">
        <v>10908.046700000001</v>
      </c>
      <c r="Q6">
        <v>14112.0113</v>
      </c>
      <c r="R6">
        <v>11386.2837</v>
      </c>
      <c r="S6">
        <v>10655.5659</v>
      </c>
      <c r="AO6" s="33">
        <v>0.1</v>
      </c>
      <c r="AP6" s="33">
        <v>0.15</v>
      </c>
    </row>
    <row r="7" spans="1:42" s="2" customFormat="1" ht="18.3">
      <c r="A7" s="2" t="s">
        <v>1</v>
      </c>
      <c r="B7" s="2">
        <f>13990.7388*6</f>
        <v>83944.432799999995</v>
      </c>
      <c r="C7" s="2">
        <f>14850.8574*3+18079.9335*6</f>
        <v>153032.17319999999</v>
      </c>
      <c r="D7" s="2">
        <f>10141.7561*6+21749.9661+12346.9151*5</f>
        <v>144335.07820000002</v>
      </c>
      <c r="E7" s="2">
        <f>14451.6487*5+17411.625*6</f>
        <v>176727.99349999998</v>
      </c>
      <c r="I7" s="2">
        <f>9758.7515*7+8512.9625*6+7759.1911*4+9379.3102*2</f>
        <v>169184.4203</v>
      </c>
      <c r="J7" s="2">
        <f>J6*8</f>
        <v>364681.27920000005</v>
      </c>
      <c r="K7" s="2">
        <f>K6</f>
        <v>32739.437600000001</v>
      </c>
      <c r="N7" s="2">
        <f>N6*5</f>
        <v>231660.677</v>
      </c>
      <c r="O7" s="2">
        <f>O6*8</f>
        <v>175462.9712</v>
      </c>
      <c r="P7" s="2">
        <f>P6*8</f>
        <v>87264.373600000006</v>
      </c>
      <c r="U7" s="2">
        <f>14952.5207*6+7518.4914*5</f>
        <v>127307.58119999999</v>
      </c>
      <c r="V7" s="2">
        <f>16722.0587*9+18291.439+21729.0653+25186.087</f>
        <v>215705.11960000001</v>
      </c>
      <c r="Y7" s="2">
        <f>6715.6434*3</f>
        <v>20146.930199999999</v>
      </c>
      <c r="Z7" s="2">
        <f>6715.6434*3</f>
        <v>20146.930199999999</v>
      </c>
      <c r="AA7" s="2">
        <f>9064.8795*10</f>
        <v>90648.794999999984</v>
      </c>
      <c r="AB7" s="2">
        <f>12311.8501*7</f>
        <v>86182.950700000001</v>
      </c>
      <c r="AC7" s="2">
        <f>9064.8795*10</f>
        <v>90648.794999999984</v>
      </c>
      <c r="AD7" s="2">
        <v>75582.358800000002</v>
      </c>
      <c r="AE7" s="2">
        <v>19830.134099999999</v>
      </c>
      <c r="AK7" s="18">
        <f>SUM(A7:AI7)-SUM(AA7:AC7)</f>
        <v>2097751.8907000003</v>
      </c>
      <c r="AM7" s="16">
        <f>J7+K7+M7+N7+O7+P7+Q7+R7+W7</f>
        <v>891808.73860000016</v>
      </c>
      <c r="AN7" s="29">
        <f>AK7-AM7</f>
        <v>1205943.1521000001</v>
      </c>
      <c r="AO7" s="17">
        <f>AN7*10%</f>
        <v>120594.31521000002</v>
      </c>
      <c r="AP7" s="34">
        <f>AO7*1.5</f>
        <v>180891.47281500002</v>
      </c>
    </row>
    <row r="8" spans="1:42" s="3" customFormat="1" ht="18.3">
      <c r="A8" s="3" t="s">
        <v>2</v>
      </c>
      <c r="B8" s="3">
        <f>16988.7542*5+19986.7697*4</f>
        <v>164890.8498</v>
      </c>
      <c r="C8" s="3">
        <f>22599.9169*5</f>
        <v>112999.5845</v>
      </c>
      <c r="D8" s="3">
        <f>27186.7402+15433.6439*4</f>
        <v>88921.315799999997</v>
      </c>
      <c r="E8" s="3">
        <f>20977.8614*6</f>
        <v>125867.16840000001</v>
      </c>
      <c r="F8" s="3">
        <f>F6*12</f>
        <v>98277.707999999999</v>
      </c>
      <c r="G8" s="3">
        <f>G6*14</f>
        <v>253576.56659999999</v>
      </c>
      <c r="H8" s="3">
        <f>H6*13</f>
        <v>343749.09789999999</v>
      </c>
      <c r="I8" s="3">
        <f>12763.4768*4+22646.9531*4</f>
        <v>141641.71960000001</v>
      </c>
      <c r="K8" s="3">
        <f>K6*12</f>
        <v>392873.2512</v>
      </c>
      <c r="M8" s="3">
        <f>M6*4</f>
        <v>46266.633999999998</v>
      </c>
      <c r="T8" s="3">
        <f>5110.5301*2+10732.1133*4+13144.8582*4+3934.5563+7887.9985+11548.5767*3</f>
        <v>152197.2311</v>
      </c>
      <c r="Y8" s="3">
        <f>6715.6434*4</f>
        <v>26862.5736</v>
      </c>
      <c r="Z8" s="3">
        <f>6715.6434*4</f>
        <v>26862.5736</v>
      </c>
      <c r="AA8" s="3">
        <f>11007.3536*5+12949.8278*4</f>
        <v>106836.07920000001</v>
      </c>
      <c r="AB8" s="3">
        <f>14950.1037*4+11524.5008*2+12311.8501*4</f>
        <v>132096.8168</v>
      </c>
      <c r="AC8" s="3">
        <f>11007.3536*5+12949.8278*4</f>
        <v>106836.07920000001</v>
      </c>
      <c r="AD8" s="3">
        <v>10933.486999999999</v>
      </c>
      <c r="AE8" s="3">
        <v>9438.5408000000007</v>
      </c>
      <c r="AK8" s="19">
        <f t="shared" ref="AK8:AK17" si="0">SUM(A8:AI8)-SUM(AA8:AC8)</f>
        <v>1995358.3019000005</v>
      </c>
      <c r="AM8" s="16">
        <f t="shared" ref="AM8:AM17" si="1">J8+K8+M8+N8+O8+P8+Q8+R8+W8</f>
        <v>439139.88520000002</v>
      </c>
      <c r="AN8" s="30">
        <f t="shared" ref="AN8:AN17" si="2">AK8-AM8</f>
        <v>1556218.4167000004</v>
      </c>
    </row>
    <row r="9" spans="1:42" s="4" customFormat="1" ht="18.3">
      <c r="A9" s="4" t="s">
        <v>3</v>
      </c>
      <c r="B9" s="4">
        <f>19986.7697*2</f>
        <v>39973.539400000001</v>
      </c>
      <c r="C9" s="4">
        <f>22599.9169*3</f>
        <v>67799.750700000004</v>
      </c>
      <c r="D9" s="5">
        <f>10419.5349*3</f>
        <v>31258.604700000004</v>
      </c>
      <c r="E9" s="5">
        <f>15013.8327*3</f>
        <v>45041.498100000004</v>
      </c>
      <c r="I9" s="4">
        <f>22646.9531+12763.4768</f>
        <v>35410.429900000003</v>
      </c>
      <c r="J9" s="4">
        <f>J6</f>
        <v>45585.159900000006</v>
      </c>
      <c r="K9" s="4">
        <f>K6</f>
        <v>32739.437600000001</v>
      </c>
      <c r="L9" s="4">
        <f>L6*2</f>
        <v>21502.0874</v>
      </c>
      <c r="N9" s="4">
        <f>N6*2</f>
        <v>92664.270799999998</v>
      </c>
      <c r="O9" s="4">
        <f>O6</f>
        <v>21932.8714</v>
      </c>
      <c r="P9" s="4">
        <f>P6</f>
        <v>10908.046700000001</v>
      </c>
      <c r="Q9" s="4">
        <f>Q6</f>
        <v>14112.0113</v>
      </c>
      <c r="T9" s="4">
        <f>21357.4033*2+13144.8582*2</f>
        <v>69004.523000000001</v>
      </c>
      <c r="U9" s="4">
        <f>11685.2545+25511.2177</f>
        <v>37196.472200000004</v>
      </c>
      <c r="V9" s="4">
        <f>16722.0587+25186.087+15496.6228*2</f>
        <v>72901.391300000003</v>
      </c>
      <c r="Y9" s="4">
        <f>6715.6434</f>
        <v>6715.6433999999999</v>
      </c>
      <c r="Z9" s="4">
        <f>6715.6434</f>
        <v>6715.6433999999999</v>
      </c>
      <c r="AA9" s="4">
        <f>12949.8278*2</f>
        <v>25899.655599999998</v>
      </c>
      <c r="AB9" s="4">
        <f>12311.8501*2</f>
        <v>24623.700199999999</v>
      </c>
      <c r="AC9" s="4">
        <f>12949.8278*2</f>
        <v>25899.655599999998</v>
      </c>
      <c r="AD9" s="4">
        <v>74194.093900000007</v>
      </c>
      <c r="AE9" s="4">
        <v>38298.002699999997</v>
      </c>
      <c r="AF9" s="4">
        <f>11089.2886*3</f>
        <v>33267.8658</v>
      </c>
      <c r="AG9" s="4">
        <v>24332.021800000002</v>
      </c>
      <c r="AH9" s="4">
        <v>3701.5216</v>
      </c>
      <c r="AI9" s="4">
        <v>26544.332699999999</v>
      </c>
      <c r="AK9" s="20">
        <f t="shared" si="0"/>
        <v>851799.2196999999</v>
      </c>
      <c r="AM9" s="16">
        <f t="shared" si="1"/>
        <v>217941.79770000002</v>
      </c>
      <c r="AN9" s="31">
        <f t="shared" si="2"/>
        <v>633857.4219999999</v>
      </c>
    </row>
    <row r="10" spans="1:42" ht="18.3">
      <c r="A10" t="s">
        <v>15</v>
      </c>
      <c r="F10">
        <f>2980.5264*2</f>
        <v>5961.0528000000004</v>
      </c>
      <c r="V10" t="s">
        <v>38</v>
      </c>
      <c r="AK10" s="19">
        <f t="shared" si="0"/>
        <v>5961.0528000000004</v>
      </c>
      <c r="AM10" s="16">
        <f t="shared" si="1"/>
        <v>0</v>
      </c>
      <c r="AN10" s="30">
        <f t="shared" si="2"/>
        <v>5961.0528000000004</v>
      </c>
    </row>
    <row r="11" spans="1:42" ht="18.3">
      <c r="A11" t="s">
        <v>16</v>
      </c>
      <c r="J11">
        <v>26202.886699999999</v>
      </c>
      <c r="AK11" s="18">
        <f t="shared" si="0"/>
        <v>26202.886699999999</v>
      </c>
      <c r="AM11" s="16">
        <f t="shared" si="1"/>
        <v>26202.886699999999</v>
      </c>
      <c r="AN11" s="17">
        <f t="shared" si="2"/>
        <v>0</v>
      </c>
    </row>
    <row r="12" spans="1:42" ht="18.3">
      <c r="A12" t="s">
        <v>17</v>
      </c>
      <c r="J12">
        <v>26202.886699999999</v>
      </c>
      <c r="AK12" s="20">
        <f t="shared" si="0"/>
        <v>26202.886699999999</v>
      </c>
      <c r="AM12" s="16">
        <f t="shared" si="1"/>
        <v>26202.886699999999</v>
      </c>
      <c r="AN12" s="17">
        <f t="shared" si="2"/>
        <v>0</v>
      </c>
    </row>
    <row r="13" spans="1:42" s="6" customFormat="1" ht="18.3">
      <c r="A13" s="6" t="s">
        <v>18</v>
      </c>
      <c r="L13" s="6">
        <f>L6*13</f>
        <v>139763.5681</v>
      </c>
      <c r="Q13" s="6">
        <f>Q6*8</f>
        <v>112896.0904</v>
      </c>
      <c r="R13" s="6">
        <f>R6*3</f>
        <v>34158.8511</v>
      </c>
      <c r="U13" s="6">
        <f>25511.2177*5+12412.5744*3+11685.2545*5</f>
        <v>223220.08420000001</v>
      </c>
      <c r="AK13" s="21">
        <f t="shared" si="0"/>
        <v>510038.59380000003</v>
      </c>
      <c r="AM13" s="16">
        <f t="shared" si="1"/>
        <v>147054.94150000002</v>
      </c>
      <c r="AN13" s="32">
        <f t="shared" si="2"/>
        <v>362983.65230000002</v>
      </c>
    </row>
    <row r="14" spans="1:42" s="7" customFormat="1" ht="18.3">
      <c r="A14" s="7" t="s">
        <v>19</v>
      </c>
      <c r="N14" s="7">
        <f>26779.7431*4</f>
        <v>107118.9724</v>
      </c>
      <c r="AK14" s="38">
        <f t="shared" si="0"/>
        <v>107118.9724</v>
      </c>
      <c r="AM14" s="16">
        <f t="shared" si="1"/>
        <v>107118.9724</v>
      </c>
      <c r="AN14" s="17">
        <f t="shared" si="2"/>
        <v>0</v>
      </c>
    </row>
    <row r="15" spans="1:42" s="9" customFormat="1" ht="18.3">
      <c r="A15" s="9" t="s">
        <v>36</v>
      </c>
      <c r="S15" s="9">
        <f>S6*4</f>
        <v>42622.263599999998</v>
      </c>
      <c r="AK15" s="27">
        <f t="shared" si="0"/>
        <v>42622.263599999998</v>
      </c>
      <c r="AM15" s="16">
        <f t="shared" si="1"/>
        <v>0</v>
      </c>
      <c r="AN15" s="28">
        <f t="shared" si="2"/>
        <v>42622.263599999998</v>
      </c>
    </row>
    <row r="16" spans="1:42" ht="18.3">
      <c r="A16" t="s">
        <v>35</v>
      </c>
      <c r="X16">
        <f>42865*2+15717</f>
        <v>101447</v>
      </c>
      <c r="AK16" s="27">
        <f t="shared" si="0"/>
        <v>101447</v>
      </c>
      <c r="AM16" s="16">
        <f t="shared" si="1"/>
        <v>0</v>
      </c>
      <c r="AN16" s="28">
        <f t="shared" si="2"/>
        <v>101447</v>
      </c>
    </row>
    <row r="17" spans="1:44" s="10" customFormat="1" ht="18.3">
      <c r="A17" s="10" t="s">
        <v>37</v>
      </c>
      <c r="W17" s="10">
        <v>158000</v>
      </c>
      <c r="AK17" s="27">
        <f t="shared" si="0"/>
        <v>158000</v>
      </c>
      <c r="AM17" s="16">
        <f t="shared" si="1"/>
        <v>158000</v>
      </c>
      <c r="AN17" s="17">
        <f t="shared" si="2"/>
        <v>0</v>
      </c>
    </row>
    <row r="22" spans="1:44">
      <c r="F22" s="1"/>
      <c r="G22" t="s">
        <v>23</v>
      </c>
      <c r="U22" s="12" t="s">
        <v>44</v>
      </c>
      <c r="V22" s="12"/>
      <c r="AK22" s="15" t="s">
        <v>78</v>
      </c>
      <c r="AO22" t="s">
        <v>82</v>
      </c>
      <c r="AQ22" t="s">
        <v>85</v>
      </c>
    </row>
    <row r="23" spans="1:44">
      <c r="U23" s="11" t="s">
        <v>45</v>
      </c>
      <c r="AK23" s="22" t="s">
        <v>76</v>
      </c>
      <c r="AO23" t="s">
        <v>83</v>
      </c>
      <c r="AP23">
        <v>32739.437600000001</v>
      </c>
      <c r="AQ23">
        <f>AP23</f>
        <v>32739.437600000001</v>
      </c>
      <c r="AR23" t="s">
        <v>85</v>
      </c>
    </row>
    <row r="24" spans="1:44">
      <c r="F24" s="36" t="s">
        <v>87</v>
      </c>
      <c r="W24" t="s">
        <v>53</v>
      </c>
      <c r="X24" t="s">
        <v>47</v>
      </c>
      <c r="Y24" t="s">
        <v>48</v>
      </c>
      <c r="Z24" t="s">
        <v>49</v>
      </c>
      <c r="AA24" t="s">
        <v>55</v>
      </c>
      <c r="AK24" s="23" t="s">
        <v>58</v>
      </c>
      <c r="AO24" t="s">
        <v>84</v>
      </c>
      <c r="AP24">
        <v>20009.750599999999</v>
      </c>
    </row>
    <row r="25" spans="1:44">
      <c r="V25" t="s">
        <v>46</v>
      </c>
      <c r="W25">
        <v>25512.857199999999</v>
      </c>
      <c r="X25">
        <v>32995.092600000004</v>
      </c>
      <c r="Y25">
        <v>17074.409</v>
      </c>
      <c r="AA25">
        <f>SUM(W25:Z25)</f>
        <v>75582.358800000002</v>
      </c>
      <c r="AK25" s="24" t="s">
        <v>77</v>
      </c>
      <c r="AP25">
        <v>10659.263999999999</v>
      </c>
    </row>
    <row r="26" spans="1:44">
      <c r="V26" t="s">
        <v>50</v>
      </c>
      <c r="Y26">
        <v>23290.124500000002</v>
      </c>
      <c r="Z26">
        <v>50903.969400000002</v>
      </c>
      <c r="AA26">
        <f t="shared" ref="AA26:AA27" si="3">SUM(W26:Z26)</f>
        <v>74194.093900000007</v>
      </c>
      <c r="AK26" s="25" t="s">
        <v>57</v>
      </c>
      <c r="AP26">
        <v>15663.120800000001</v>
      </c>
      <c r="AQ26">
        <f>SUM(AP24:AP26)</f>
        <v>46332.135399999999</v>
      </c>
      <c r="AR26" t="s">
        <v>86</v>
      </c>
    </row>
    <row r="27" spans="1:44">
      <c r="V27" t="s">
        <v>51</v>
      </c>
      <c r="W27">
        <f>5466.7435</f>
        <v>5466.7434999999996</v>
      </c>
      <c r="X27">
        <f>5466.7435</f>
        <v>5466.7434999999996</v>
      </c>
      <c r="AA27">
        <f t="shared" si="3"/>
        <v>10933.486999999999</v>
      </c>
      <c r="AK27" s="26" t="s">
        <v>79</v>
      </c>
      <c r="AP27" s="15"/>
    </row>
    <row r="29" spans="1:44">
      <c r="U29" s="11" t="s">
        <v>52</v>
      </c>
      <c r="W29" t="s">
        <v>53</v>
      </c>
      <c r="X29" t="s">
        <v>54</v>
      </c>
      <c r="Y29" t="s">
        <v>48</v>
      </c>
      <c r="Z29" t="s">
        <v>49</v>
      </c>
      <c r="AP29" s="35"/>
    </row>
    <row r="30" spans="1:44">
      <c r="V30" t="s">
        <v>56</v>
      </c>
      <c r="W30">
        <f>1771.9598+2154.758+2614.4004</f>
        <v>6541.1181999999999</v>
      </c>
      <c r="X30">
        <v>13289.0159</v>
      </c>
      <c r="AA30">
        <f>SUM(W30:Z30)</f>
        <v>19830.134099999999</v>
      </c>
    </row>
    <row r="31" spans="1:44">
      <c r="V31" t="s">
        <v>57</v>
      </c>
      <c r="Y31">
        <f>4719.2704+13289.0159</f>
        <v>18008.2863</v>
      </c>
      <c r="Z31">
        <f>16898.97+3390.7464</f>
        <v>20289.716400000001</v>
      </c>
      <c r="AA31">
        <f t="shared" ref="AA31:AA32" si="4">SUM(W31:Z31)</f>
        <v>38298.002699999997</v>
      </c>
    </row>
    <row r="32" spans="1:44">
      <c r="V32" t="s">
        <v>58</v>
      </c>
      <c r="W32">
        <v>4719.2704000000003</v>
      </c>
      <c r="X32">
        <v>4719.2704000000003</v>
      </c>
      <c r="AA32">
        <f t="shared" si="4"/>
        <v>9438.5408000000007</v>
      </c>
    </row>
    <row r="34" spans="21:27">
      <c r="U34" s="11" t="s">
        <v>62</v>
      </c>
    </row>
    <row r="35" spans="21:27">
      <c r="V35" t="s">
        <v>63</v>
      </c>
      <c r="W35" t="s">
        <v>53</v>
      </c>
      <c r="X35" t="s">
        <v>47</v>
      </c>
      <c r="Y35" t="s">
        <v>48</v>
      </c>
      <c r="Z35" t="s">
        <v>49</v>
      </c>
    </row>
    <row r="36" spans="21:27">
      <c r="X36">
        <v>2480.8870999999999</v>
      </c>
      <c r="Y36">
        <v>9496.4673000000003</v>
      </c>
      <c r="Z36">
        <f>10137.2572+1108.7051*2</f>
        <v>12354.6674</v>
      </c>
      <c r="AA36">
        <f>SUM(W36:Z36)</f>
        <v>24332.021800000002</v>
      </c>
    </row>
    <row r="38" spans="21:27">
      <c r="U38" s="11" t="s">
        <v>64</v>
      </c>
      <c r="V38" t="s">
        <v>63</v>
      </c>
      <c r="AA38">
        <v>3701.5216</v>
      </c>
    </row>
    <row r="40" spans="21:27">
      <c r="U40" s="11" t="s">
        <v>66</v>
      </c>
      <c r="V40" t="s">
        <v>63</v>
      </c>
      <c r="W40" t="s">
        <v>53</v>
      </c>
      <c r="X40" t="s">
        <v>47</v>
      </c>
      <c r="Y40" t="s">
        <v>48</v>
      </c>
      <c r="Z40" t="s">
        <v>49</v>
      </c>
    </row>
    <row r="41" spans="21:27">
      <c r="Y41">
        <f>3998.818+1135.3989</f>
        <v>5134.2169000000004</v>
      </c>
      <c r="Z41">
        <v>21410.1158</v>
      </c>
      <c r="AA41">
        <f>SUM(W41:Z41)</f>
        <v>26544.332699999999</v>
      </c>
    </row>
    <row r="43" spans="21:27">
      <c r="U43" s="11" t="s">
        <v>67</v>
      </c>
      <c r="V43" t="s">
        <v>68</v>
      </c>
    </row>
    <row r="44" spans="21:27">
      <c r="U44" s="11" t="s">
        <v>69</v>
      </c>
      <c r="V44" t="s">
        <v>70</v>
      </c>
    </row>
    <row r="46" spans="21:27">
      <c r="U46" s="13" t="s">
        <v>71</v>
      </c>
      <c r="V46" t="s">
        <v>72</v>
      </c>
    </row>
  </sheetData>
  <phoneticPr fontId="4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6B114-6CB6-47E8-BC41-D058AA860D2F}">
  <sheetPr>
    <tabColor theme="3"/>
    <pageSetUpPr fitToPage="1"/>
  </sheetPr>
  <dimension ref="B1:H377"/>
  <sheetViews>
    <sheetView showGridLines="0" topLeftCell="A3" zoomScale="70" zoomScaleNormal="70" workbookViewId="0">
      <selection activeCell="G15" sqref="G15"/>
    </sheetView>
    <sheetView workbookViewId="1"/>
  </sheetViews>
  <sheetFormatPr defaultColWidth="8.734375" defaultRowHeight="14.4"/>
  <cols>
    <col min="1" max="1" width="2.7890625" style="393" customWidth="1"/>
    <col min="2" max="2" width="6.26171875" style="393" customWidth="1"/>
    <col min="3" max="3" width="14.7890625" style="393" customWidth="1"/>
    <col min="4" max="4" width="18.1015625" style="393" customWidth="1"/>
    <col min="5" max="5" width="17.47265625" style="393" customWidth="1"/>
    <col min="6" max="8" width="14.7890625" style="393" customWidth="1"/>
    <col min="9" max="9" width="2.7890625" style="393" customWidth="1"/>
    <col min="10" max="16384" width="8.734375" style="393"/>
  </cols>
  <sheetData>
    <row r="1" spans="2:8" ht="30" customHeight="1">
      <c r="B1" s="403" t="s">
        <v>446</v>
      </c>
      <c r="C1" s="402"/>
      <c r="D1" s="402"/>
      <c r="E1" s="402"/>
      <c r="F1" s="402"/>
      <c r="G1" s="402"/>
      <c r="H1" s="402"/>
    </row>
    <row r="2" spans="2:8" ht="30" customHeight="1">
      <c r="B2" s="633" t="s">
        <v>445</v>
      </c>
      <c r="C2" s="633"/>
      <c r="D2" s="633"/>
      <c r="E2" s="633"/>
    </row>
    <row r="3" spans="2:8">
      <c r="B3" s="636" t="s">
        <v>413</v>
      </c>
      <c r="C3" s="636"/>
      <c r="D3" s="637"/>
      <c r="E3" s="405">
        <f>combined!Q21</f>
        <v>349305316.03269267</v>
      </c>
    </row>
    <row r="4" spans="2:8">
      <c r="B4" s="634" t="s">
        <v>444</v>
      </c>
      <c r="C4" s="634"/>
      <c r="D4" s="638"/>
      <c r="E4" s="406">
        <f>permanentinterestrate</f>
        <v>6.5000000000000002E-2</v>
      </c>
    </row>
    <row r="5" spans="2:8">
      <c r="B5" s="634" t="s">
        <v>443</v>
      </c>
      <c r="C5" s="634"/>
      <c r="D5" s="638"/>
      <c r="E5" s="407">
        <f>amortizationschedule</f>
        <v>30</v>
      </c>
    </row>
    <row r="6" spans="2:8">
      <c r="B6" s="634" t="s">
        <v>442</v>
      </c>
      <c r="C6" s="634"/>
      <c r="D6" s="638"/>
      <c r="E6" s="401">
        <v>43831</v>
      </c>
      <c r="F6" s="401"/>
    </row>
    <row r="7" spans="2:8">
      <c r="B7" s="400"/>
      <c r="C7" s="400"/>
      <c r="D7" s="400"/>
    </row>
    <row r="8" spans="2:8">
      <c r="B8" s="634" t="s">
        <v>441</v>
      </c>
      <c r="C8" s="634"/>
      <c r="D8" s="635"/>
      <c r="E8" s="404">
        <f>IFERROR(IF(Values_Entered,Monthly_Payment,""), "")</f>
        <v>2207847.2070036912</v>
      </c>
    </row>
    <row r="9" spans="2:8">
      <c r="B9" s="634" t="s">
        <v>440</v>
      </c>
      <c r="C9" s="634"/>
      <c r="D9" s="635"/>
      <c r="E9" s="399">
        <f>IFERROR(IF(Values_Entered,Loan_Years*12,""), "")</f>
        <v>360</v>
      </c>
    </row>
    <row r="10" spans="2:8">
      <c r="B10" s="634" t="s">
        <v>439</v>
      </c>
      <c r="C10" s="634"/>
      <c r="D10" s="635"/>
      <c r="E10" s="398">
        <f>IFERROR(IF(Values_Entered,Total_Cost-Loan_Amount,""), "")</f>
        <v>445519678.48863614</v>
      </c>
    </row>
    <row r="11" spans="2:8">
      <c r="B11" s="634" t="s">
        <v>438</v>
      </c>
      <c r="C11" s="634"/>
      <c r="D11" s="635"/>
      <c r="E11" s="404">
        <f>IFERROR(IF(Values_Entered,Monthly_Payment*Number_of_Payments,""), "")</f>
        <v>794824994.52132881</v>
      </c>
    </row>
    <row r="12" spans="2:8">
      <c r="B12" s="408"/>
      <c r="C12" s="408"/>
      <c r="D12" s="409"/>
      <c r="E12" s="410"/>
    </row>
    <row r="13" spans="2:8">
      <c r="B13" s="408"/>
      <c r="C13" s="412" t="s">
        <v>447</v>
      </c>
      <c r="D13" s="409"/>
      <c r="E13" s="416">
        <f>Phase1open</f>
        <v>3</v>
      </c>
    </row>
    <row r="14" spans="2:8">
      <c r="B14" s="408"/>
      <c r="C14" s="412" t="s">
        <v>187</v>
      </c>
      <c r="D14" s="409"/>
      <c r="E14" s="416">
        <f>dispositionyear</f>
        <v>10</v>
      </c>
      <c r="F14" s="411"/>
    </row>
    <row r="15" spans="2:8">
      <c r="B15" s="408"/>
      <c r="C15" s="413" t="s">
        <v>449</v>
      </c>
      <c r="E15" s="417">
        <f>(E14-E13)*12</f>
        <v>84</v>
      </c>
    </row>
    <row r="16" spans="2:8">
      <c r="B16" s="408"/>
      <c r="C16" s="412" t="s">
        <v>448</v>
      </c>
      <c r="D16" s="409"/>
      <c r="E16" s="410">
        <f>VLOOKUP(E15,Loan[#All],7,TRUE)</f>
        <v>315828749.58589494</v>
      </c>
    </row>
    <row r="17" spans="2:8" ht="38.5" customHeight="1">
      <c r="B17" s="397" t="s">
        <v>437</v>
      </c>
      <c r="C17" s="397" t="s">
        <v>284</v>
      </c>
      <c r="D17" s="397" t="s">
        <v>436</v>
      </c>
      <c r="E17" s="397" t="s">
        <v>435</v>
      </c>
      <c r="F17" s="397" t="s">
        <v>434</v>
      </c>
      <c r="G17" s="397" t="s">
        <v>433</v>
      </c>
      <c r="H17" s="397" t="s">
        <v>432</v>
      </c>
    </row>
    <row r="18" spans="2:8">
      <c r="B18" s="396">
        <f>IFERROR(IF(Loan_Not_Paid*Values_Entered,Payment_Number,""), "")</f>
        <v>1</v>
      </c>
      <c r="C18" s="395"/>
      <c r="D18" s="394">
        <f>IFERROR(IF(Loan_Not_Paid*Values_Entered,Beginning_Balance,""), "")</f>
        <v>349305316.03269267</v>
      </c>
      <c r="E18" s="394">
        <f>IFERROR(IF(Loan_Not_Paid*Values_Entered,Monthly_Payment,""), "")</f>
        <v>2207847.2070036912</v>
      </c>
      <c r="F18" s="394">
        <f>IFERROR(IF(Loan_Not_Paid*Values_Entered,Principal,""), "")</f>
        <v>315776.74515993905</v>
      </c>
      <c r="G18" s="394">
        <f>IFERROR(IF(Loan_Not_Paid*Values_Entered,Interest,""), "")</f>
        <v>1892070.4618437521</v>
      </c>
      <c r="H18" s="394">
        <f>IFERROR(IF(Loan_Not_Paid*Values_Entered,Ending_Balance,""), "")</f>
        <v>348989539.28753275</v>
      </c>
    </row>
    <row r="19" spans="2:8">
      <c r="B19" s="396">
        <f>IFERROR(IF(Loan_Not_Paid*Values_Entered,Payment_Number,""), "")</f>
        <v>2</v>
      </c>
      <c r="C19" s="395"/>
      <c r="D19" s="394">
        <f>IFERROR(IF(Loan_Not_Paid*Values_Entered,Beginning_Balance,""), "")</f>
        <v>348989539.28753275</v>
      </c>
      <c r="E19" s="394">
        <f>IFERROR(IF(Loan_Not_Paid*Values_Entered,Monthly_Payment,""), "")</f>
        <v>2207847.2070036912</v>
      </c>
      <c r="F19" s="394">
        <f>IFERROR(IF(Loan_Not_Paid*Values_Entered,Principal,""), "")</f>
        <v>317487.2025295553</v>
      </c>
      <c r="G19" s="394">
        <f>IFERROR(IF(Loan_Not_Paid*Values_Entered,Interest,""), "")</f>
        <v>1890360.004474136</v>
      </c>
      <c r="H19" s="394">
        <f>IFERROR(IF(Loan_Not_Paid*Values_Entered,Ending_Balance,""), "")</f>
        <v>348672052.0850032</v>
      </c>
    </row>
    <row r="20" spans="2:8">
      <c r="B20" s="396">
        <f>IFERROR(IF(Loan_Not_Paid*Values_Entered,Payment_Number,""), "")</f>
        <v>3</v>
      </c>
      <c r="C20" s="395"/>
      <c r="D20" s="394">
        <f>IFERROR(IF(Loan_Not_Paid*Values_Entered,Beginning_Balance,""), "")</f>
        <v>348672052.0850032</v>
      </c>
      <c r="E20" s="394">
        <f>IFERROR(IF(Loan_Not_Paid*Values_Entered,Monthly_Payment,""), "")</f>
        <v>2207847.2070036912</v>
      </c>
      <c r="F20" s="394">
        <f>IFERROR(IF(Loan_Not_Paid*Values_Entered,Principal,""), "")</f>
        <v>319206.92487659049</v>
      </c>
      <c r="G20" s="394">
        <f>IFERROR(IF(Loan_Not_Paid*Values_Entered,Interest,""), "")</f>
        <v>1888640.2821271007</v>
      </c>
      <c r="H20" s="394">
        <f>IFERROR(IF(Loan_Not_Paid*Values_Entered,Ending_Balance,""), "")</f>
        <v>348352845.16012657</v>
      </c>
    </row>
    <row r="21" spans="2:8">
      <c r="B21" s="396">
        <f>IFERROR(IF(Loan_Not_Paid*Values_Entered,Payment_Number,""), "")</f>
        <v>4</v>
      </c>
      <c r="C21" s="395"/>
      <c r="D21" s="394">
        <f>IFERROR(IF(Loan_Not_Paid*Values_Entered,Beginning_Balance,""), "")</f>
        <v>348352845.16012657</v>
      </c>
      <c r="E21" s="394">
        <f>IFERROR(IF(Loan_Not_Paid*Values_Entered,Monthly_Payment,""), "")</f>
        <v>2207847.2070036912</v>
      </c>
      <c r="F21" s="394">
        <f>IFERROR(IF(Loan_Not_Paid*Values_Entered,Principal,""), "")</f>
        <v>320935.96238633868</v>
      </c>
      <c r="G21" s="394">
        <f>IFERROR(IF(Loan_Not_Paid*Values_Entered,Interest,""), "")</f>
        <v>1886911.2446173527</v>
      </c>
      <c r="H21" s="394">
        <f>IFERROR(IF(Loan_Not_Paid*Values_Entered,Ending_Balance,""), "")</f>
        <v>348031909.19774026</v>
      </c>
    </row>
    <row r="22" spans="2:8">
      <c r="B22" s="396">
        <f>IFERROR(IF(Loan_Not_Paid*Values_Entered,Payment_Number,""), "")</f>
        <v>5</v>
      </c>
      <c r="C22" s="395"/>
      <c r="D22" s="394">
        <f>IFERROR(IF(Loan_Not_Paid*Values_Entered,Beginning_Balance,""), "")</f>
        <v>348031909.19774026</v>
      </c>
      <c r="E22" s="394">
        <f>IFERROR(IF(Loan_Not_Paid*Values_Entered,Monthly_Payment,""), "")</f>
        <v>2207847.2070036912</v>
      </c>
      <c r="F22" s="394">
        <f>IFERROR(IF(Loan_Not_Paid*Values_Entered,Principal,""), "")</f>
        <v>322674.36551593133</v>
      </c>
      <c r="G22" s="394">
        <f>IFERROR(IF(Loan_Not_Paid*Values_Entered,Interest,""), "")</f>
        <v>1885172.8414877602</v>
      </c>
      <c r="H22" s="394">
        <f>IFERROR(IF(Loan_Not_Paid*Values_Entered,Ending_Balance,""), "")</f>
        <v>347709234.83222431</v>
      </c>
    </row>
    <row r="23" spans="2:8">
      <c r="B23" s="396">
        <f>IFERROR(IF(Loan_Not_Paid*Values_Entered,Payment_Number,""), "")</f>
        <v>6</v>
      </c>
      <c r="C23" s="395"/>
      <c r="D23" s="394">
        <f>IFERROR(IF(Loan_Not_Paid*Values_Entered,Beginning_Balance,""), "")</f>
        <v>347709234.83222431</v>
      </c>
      <c r="E23" s="394">
        <f>IFERROR(IF(Loan_Not_Paid*Values_Entered,Monthly_Payment,""), "")</f>
        <v>2207847.2070036912</v>
      </c>
      <c r="F23" s="394">
        <f>IFERROR(IF(Loan_Not_Paid*Values_Entered,Principal,""), "")</f>
        <v>324422.18499580922</v>
      </c>
      <c r="G23" s="394">
        <f>IFERROR(IF(Loan_Not_Paid*Values_Entered,Interest,""), "")</f>
        <v>1883425.0220078821</v>
      </c>
      <c r="H23" s="394">
        <f>IFERROR(IF(Loan_Not_Paid*Values_Entered,Ending_Balance,""), "")</f>
        <v>347384812.64722854</v>
      </c>
    </row>
    <row r="24" spans="2:8">
      <c r="B24" s="396">
        <f>IFERROR(IF(Loan_Not_Paid*Values_Entered,Payment_Number,""), "")</f>
        <v>7</v>
      </c>
      <c r="C24" s="395"/>
      <c r="D24" s="394">
        <f>IFERROR(IF(Loan_Not_Paid*Values_Entered,Beginning_Balance,""), "")</f>
        <v>347384812.64722854</v>
      </c>
      <c r="E24" s="394">
        <f>IFERROR(IF(Loan_Not_Paid*Values_Entered,Monthly_Payment,""), "")</f>
        <v>2207847.2070036912</v>
      </c>
      <c r="F24" s="394">
        <f>IFERROR(IF(Loan_Not_Paid*Values_Entered,Principal,""), "")</f>
        <v>326179.47183120326</v>
      </c>
      <c r="G24" s="394">
        <f>IFERROR(IF(Loan_Not_Paid*Values_Entered,Interest,""), "")</f>
        <v>1881667.735172488</v>
      </c>
      <c r="H24" s="394">
        <f>IFERROR(IF(Loan_Not_Paid*Values_Entered,Ending_Balance,""), "")</f>
        <v>347058633.17539734</v>
      </c>
    </row>
    <row r="25" spans="2:8">
      <c r="B25" s="396">
        <f>IFERROR(IF(Loan_Not_Paid*Values_Entered,Payment_Number,""), "")</f>
        <v>8</v>
      </c>
      <c r="C25" s="395"/>
      <c r="D25" s="394">
        <f>IFERROR(IF(Loan_Not_Paid*Values_Entered,Beginning_Balance,""), "")</f>
        <v>347058633.17539734</v>
      </c>
      <c r="E25" s="394">
        <f>IFERROR(IF(Loan_Not_Paid*Values_Entered,Monthly_Payment,""), "")</f>
        <v>2207847.2070036912</v>
      </c>
      <c r="F25" s="394">
        <f>IFERROR(IF(Loan_Not_Paid*Values_Entered,Principal,""), "")</f>
        <v>327946.27730362228</v>
      </c>
      <c r="G25" s="394">
        <f>IFERROR(IF(Loan_Not_Paid*Values_Entered,Interest,""), "")</f>
        <v>1879900.9297000689</v>
      </c>
      <c r="H25" s="394">
        <f>IFERROR(IF(Loan_Not_Paid*Values_Entered,Ending_Balance,""), "")</f>
        <v>346730686.8980937</v>
      </c>
    </row>
    <row r="26" spans="2:8">
      <c r="B26" s="396">
        <f>IFERROR(IF(Loan_Not_Paid*Values_Entered,Payment_Number,""), "")</f>
        <v>9</v>
      </c>
      <c r="C26" s="395"/>
      <c r="D26" s="394">
        <f>IFERROR(IF(Loan_Not_Paid*Values_Entered,Beginning_Balance,""), "")</f>
        <v>346730686.8980937</v>
      </c>
      <c r="E26" s="394">
        <f>IFERROR(IF(Loan_Not_Paid*Values_Entered,Monthly_Payment,""), "")</f>
        <v>2207847.2070036912</v>
      </c>
      <c r="F26" s="394">
        <f>IFERROR(IF(Loan_Not_Paid*Values_Entered,Principal,""), "")</f>
        <v>329722.65297235025</v>
      </c>
      <c r="G26" s="394">
        <f>IFERROR(IF(Loan_Not_Paid*Values_Entered,Interest,""), "")</f>
        <v>1878124.5540313409</v>
      </c>
      <c r="H26" s="394">
        <f>IFERROR(IF(Loan_Not_Paid*Values_Entered,Ending_Balance,""), "")</f>
        <v>346400964.2451213</v>
      </c>
    </row>
    <row r="27" spans="2:8">
      <c r="B27" s="396">
        <f>IFERROR(IF(Loan_Not_Paid*Values_Entered,Payment_Number,""), "")</f>
        <v>10</v>
      </c>
      <c r="C27" s="395"/>
      <c r="D27" s="394">
        <f>IFERROR(IF(Loan_Not_Paid*Values_Entered,Beginning_Balance,""), "")</f>
        <v>346400964.2451213</v>
      </c>
      <c r="E27" s="394">
        <f>IFERROR(IF(Loan_Not_Paid*Values_Entered,Monthly_Payment,""), "")</f>
        <v>2207847.2070036912</v>
      </c>
      <c r="F27" s="394">
        <f>IFERROR(IF(Loan_Not_Paid*Values_Entered,Principal,""), "")</f>
        <v>331508.65067595051</v>
      </c>
      <c r="G27" s="394">
        <f>IFERROR(IF(Loan_Not_Paid*Values_Entered,Interest,""), "")</f>
        <v>1876338.5563277407</v>
      </c>
      <c r="H27" s="394">
        <f>IFERROR(IF(Loan_Not_Paid*Values_Entered,Ending_Balance,""), "")</f>
        <v>346069455.59444541</v>
      </c>
    </row>
    <row r="28" spans="2:8">
      <c r="B28" s="396">
        <f>IFERROR(IF(Loan_Not_Paid*Values_Entered,Payment_Number,""), "")</f>
        <v>11</v>
      </c>
      <c r="C28" s="395"/>
      <c r="D28" s="394">
        <f>IFERROR(IF(Loan_Not_Paid*Values_Entered,Beginning_Balance,""), "")</f>
        <v>346069455.59444541</v>
      </c>
      <c r="E28" s="394">
        <f>IFERROR(IF(Loan_Not_Paid*Values_Entered,Monthly_Payment,""), "")</f>
        <v>2207847.2070036912</v>
      </c>
      <c r="F28" s="394">
        <f>IFERROR(IF(Loan_Not_Paid*Values_Entered,Principal,""), "")</f>
        <v>333304.3225337785</v>
      </c>
      <c r="G28" s="394">
        <f>IFERROR(IF(Loan_Not_Paid*Values_Entered,Interest,""), "")</f>
        <v>1874542.8844699126</v>
      </c>
      <c r="H28" s="394">
        <f>IFERROR(IF(Loan_Not_Paid*Values_Entered,Ending_Balance,""), "")</f>
        <v>345736151.27191162</v>
      </c>
    </row>
    <row r="29" spans="2:8">
      <c r="B29" s="396">
        <f>IFERROR(IF(Loan_Not_Paid*Values_Entered,Payment_Number,""), "")</f>
        <v>12</v>
      </c>
      <c r="C29" s="395"/>
      <c r="D29" s="394">
        <f>IFERROR(IF(Loan_Not_Paid*Values_Entered,Beginning_Balance,""), "")</f>
        <v>345736151.27191162</v>
      </c>
      <c r="E29" s="394">
        <f>IFERROR(IF(Loan_Not_Paid*Values_Entered,Monthly_Payment,""), "")</f>
        <v>2207847.2070036912</v>
      </c>
      <c r="F29" s="394">
        <f>IFERROR(IF(Loan_Not_Paid*Values_Entered,Principal,""), "")</f>
        <v>335109.72094750317</v>
      </c>
      <c r="G29" s="394">
        <f>IFERROR(IF(Loan_Not_Paid*Values_Entered,Interest,""), "")</f>
        <v>1872737.4860561884</v>
      </c>
      <c r="H29" s="394">
        <f>IFERROR(IF(Loan_Not_Paid*Values_Entered,Ending_Balance,""), "")</f>
        <v>345401041.55096418</v>
      </c>
    </row>
    <row r="30" spans="2:8">
      <c r="B30" s="396">
        <f>IFERROR(IF(Loan_Not_Paid*Values_Entered,Payment_Number,""), "")</f>
        <v>13</v>
      </c>
      <c r="C30" s="395"/>
      <c r="D30" s="394">
        <f>IFERROR(IF(Loan_Not_Paid*Values_Entered,Beginning_Balance,""), "")</f>
        <v>345401041.55096418</v>
      </c>
      <c r="E30" s="394">
        <f>IFERROR(IF(Loan_Not_Paid*Values_Entered,Monthly_Payment,""), "")</f>
        <v>2207847.2070036912</v>
      </c>
      <c r="F30" s="394">
        <f>IFERROR(IF(Loan_Not_Paid*Values_Entered,Principal,""), "")</f>
        <v>336924.89860263548</v>
      </c>
      <c r="G30" s="394">
        <f>IFERROR(IF(Loan_Not_Paid*Values_Entered,Interest,""), "")</f>
        <v>1870922.3084010556</v>
      </c>
      <c r="H30" s="394">
        <f>IFERROR(IF(Loan_Not_Paid*Values_Entered,Ending_Balance,""), "")</f>
        <v>345064116.65236151</v>
      </c>
    </row>
    <row r="31" spans="2:8">
      <c r="B31" s="396">
        <f>IFERROR(IF(Loan_Not_Paid*Values_Entered,Payment_Number,""), "")</f>
        <v>14</v>
      </c>
      <c r="C31" s="395"/>
      <c r="D31" s="394">
        <f>IFERROR(IF(Loan_Not_Paid*Values_Entered,Beginning_Balance,""), "")</f>
        <v>345064116.65236151</v>
      </c>
      <c r="E31" s="394">
        <f>IFERROR(IF(Loan_Not_Paid*Values_Entered,Monthly_Payment,""), "")</f>
        <v>2207847.2070036912</v>
      </c>
      <c r="F31" s="394">
        <f>IFERROR(IF(Loan_Not_Paid*Values_Entered,Principal,""), "")</f>
        <v>338749.90847006644</v>
      </c>
      <c r="G31" s="394">
        <f>IFERROR(IF(Loan_Not_Paid*Values_Entered,Interest,""), "")</f>
        <v>1869097.298533625</v>
      </c>
      <c r="H31" s="394">
        <f>IFERROR(IF(Loan_Not_Paid*Values_Entered,Ending_Balance,""), "")</f>
        <v>344725366.74389148</v>
      </c>
    </row>
    <row r="32" spans="2:8">
      <c r="B32" s="396">
        <f>IFERROR(IF(Loan_Not_Paid*Values_Entered,Payment_Number,""), "")</f>
        <v>15</v>
      </c>
      <c r="C32" s="395"/>
      <c r="D32" s="394">
        <f>IFERROR(IF(Loan_Not_Paid*Values_Entered,Beginning_Balance,""), "")</f>
        <v>344725366.74389148</v>
      </c>
      <c r="E32" s="394">
        <f>IFERROR(IF(Loan_Not_Paid*Values_Entered,Monthly_Payment,""), "")</f>
        <v>2207847.2070036912</v>
      </c>
      <c r="F32" s="394">
        <f>IFERROR(IF(Loan_Not_Paid*Values_Entered,Principal,""), "")</f>
        <v>340584.80380761262</v>
      </c>
      <c r="G32" s="394">
        <f>IFERROR(IF(Loan_Not_Paid*Values_Entered,Interest,""), "")</f>
        <v>1867262.4031960785</v>
      </c>
      <c r="H32" s="394">
        <f>IFERROR(IF(Loan_Not_Paid*Values_Entered,Ending_Balance,""), "")</f>
        <v>344384781.9400838</v>
      </c>
    </row>
    <row r="33" spans="2:8">
      <c r="B33" s="396">
        <f>IFERROR(IF(Loan_Not_Paid*Values_Entered,Payment_Number,""), "")</f>
        <v>16</v>
      </c>
      <c r="C33" s="395"/>
      <c r="D33" s="394">
        <f>IFERROR(IF(Loan_Not_Paid*Values_Entered,Beginning_Balance,""), "")</f>
        <v>344384781.9400838</v>
      </c>
      <c r="E33" s="394">
        <f>IFERROR(IF(Loan_Not_Paid*Values_Entered,Monthly_Payment,""), "")</f>
        <v>2207847.2070036912</v>
      </c>
      <c r="F33" s="394">
        <f>IFERROR(IF(Loan_Not_Paid*Values_Entered,Principal,""), "")</f>
        <v>342429.63816157042</v>
      </c>
      <c r="G33" s="394">
        <f>IFERROR(IF(Loan_Not_Paid*Values_Entered,Interest,""), "")</f>
        <v>1865417.5688421207</v>
      </c>
      <c r="H33" s="394">
        <f>IFERROR(IF(Loan_Not_Paid*Values_Entered,Ending_Balance,""), "")</f>
        <v>344042352.30192232</v>
      </c>
    </row>
    <row r="34" spans="2:8">
      <c r="B34" s="396">
        <f>IFERROR(IF(Loan_Not_Paid*Values_Entered,Payment_Number,""), "")</f>
        <v>17</v>
      </c>
      <c r="C34" s="395"/>
      <c r="D34" s="394">
        <f>IFERROR(IF(Loan_Not_Paid*Values_Entered,Beginning_Balance,""), "")</f>
        <v>344042352.30192232</v>
      </c>
      <c r="E34" s="394">
        <f>IFERROR(IF(Loan_Not_Paid*Values_Entered,Monthly_Payment,""), "")</f>
        <v>2207847.2070036912</v>
      </c>
      <c r="F34" s="394">
        <f>IFERROR(IF(Loan_Not_Paid*Values_Entered,Principal,""), "")</f>
        <v>344284.46536827896</v>
      </c>
      <c r="G34" s="394">
        <f>IFERROR(IF(Loan_Not_Paid*Values_Entered,Interest,""), "")</f>
        <v>1863562.7416354122</v>
      </c>
      <c r="H34" s="394">
        <f>IFERROR(IF(Loan_Not_Paid*Values_Entered,Ending_Balance,""), "")</f>
        <v>343698067.83655399</v>
      </c>
    </row>
    <row r="35" spans="2:8">
      <c r="B35" s="396">
        <f>IFERROR(IF(Loan_Not_Paid*Values_Entered,Payment_Number,""), "")</f>
        <v>18</v>
      </c>
      <c r="C35" s="395"/>
      <c r="D35" s="394">
        <f>IFERROR(IF(Loan_Not_Paid*Values_Entered,Beginning_Balance,""), "")</f>
        <v>343698067.83655399</v>
      </c>
      <c r="E35" s="394">
        <f>IFERROR(IF(Loan_Not_Paid*Values_Entered,Monthly_Payment,""), "")</f>
        <v>2207847.2070036912</v>
      </c>
      <c r="F35" s="394">
        <f>IFERROR(IF(Loan_Not_Paid*Values_Entered,Principal,""), "")</f>
        <v>346149.33955569053</v>
      </c>
      <c r="G35" s="394">
        <f>IFERROR(IF(Loan_Not_Paid*Values_Entered,Interest,""), "")</f>
        <v>1861697.8674480009</v>
      </c>
      <c r="H35" s="394">
        <f>IFERROR(IF(Loan_Not_Paid*Values_Entered,Ending_Balance,""), "")</f>
        <v>343351918.49699831</v>
      </c>
    </row>
    <row r="36" spans="2:8">
      <c r="B36" s="396">
        <f>IFERROR(IF(Loan_Not_Paid*Values_Entered,Payment_Number,""), "")</f>
        <v>19</v>
      </c>
      <c r="C36" s="395"/>
      <c r="D36" s="394">
        <f>IFERROR(IF(Loan_Not_Paid*Values_Entered,Beginning_Balance,""), "")</f>
        <v>343351918.49699831</v>
      </c>
      <c r="E36" s="394">
        <f>IFERROR(IF(Loan_Not_Paid*Values_Entered,Monthly_Payment,""), "")</f>
        <v>2207847.2070036912</v>
      </c>
      <c r="F36" s="394">
        <f>IFERROR(IF(Loan_Not_Paid*Values_Entered,Principal,""), "")</f>
        <v>348024.31514495058</v>
      </c>
      <c r="G36" s="394">
        <f>IFERROR(IF(Loan_Not_Paid*Values_Entered,Interest,""), "")</f>
        <v>1859822.8918587405</v>
      </c>
      <c r="H36" s="394">
        <f>IFERROR(IF(Loan_Not_Paid*Values_Entered,Ending_Balance,""), "")</f>
        <v>343003894.18185335</v>
      </c>
    </row>
    <row r="37" spans="2:8">
      <c r="B37" s="396">
        <f>IFERROR(IF(Loan_Not_Paid*Values_Entered,Payment_Number,""), "")</f>
        <v>20</v>
      </c>
      <c r="C37" s="395"/>
      <c r="D37" s="394">
        <f>IFERROR(IF(Loan_Not_Paid*Values_Entered,Beginning_Balance,""), "")</f>
        <v>343003894.18185335</v>
      </c>
      <c r="E37" s="394">
        <f>IFERROR(IF(Loan_Not_Paid*Values_Entered,Monthly_Payment,""), "")</f>
        <v>2207847.2070036912</v>
      </c>
      <c r="F37" s="394">
        <f>IFERROR(IF(Loan_Not_Paid*Values_Entered,Principal,""), "")</f>
        <v>349909.4468519857</v>
      </c>
      <c r="G37" s="394">
        <f>IFERROR(IF(Loan_Not_Paid*Values_Entered,Interest,""), "")</f>
        <v>1857937.7601517055</v>
      </c>
      <c r="H37" s="394">
        <f>IFERROR(IF(Loan_Not_Paid*Values_Entered,Ending_Balance,""), "")</f>
        <v>342653984.73500139</v>
      </c>
    </row>
    <row r="38" spans="2:8">
      <c r="B38" s="396">
        <f>IFERROR(IF(Loan_Not_Paid*Values_Entered,Payment_Number,""), "")</f>
        <v>21</v>
      </c>
      <c r="C38" s="395"/>
      <c r="D38" s="394">
        <f>IFERROR(IF(Loan_Not_Paid*Values_Entered,Beginning_Balance,""), "")</f>
        <v>342653984.73500139</v>
      </c>
      <c r="E38" s="394">
        <f>IFERROR(IF(Loan_Not_Paid*Values_Entered,Monthly_Payment,""), "")</f>
        <v>2207847.2070036912</v>
      </c>
      <c r="F38" s="394">
        <f>IFERROR(IF(Loan_Not_Paid*Values_Entered,Principal,""), "")</f>
        <v>351804.78968910058</v>
      </c>
      <c r="G38" s="394">
        <f>IFERROR(IF(Loan_Not_Paid*Values_Entered,Interest,""), "")</f>
        <v>1856042.4173145909</v>
      </c>
      <c r="H38" s="394">
        <f>IFERROR(IF(Loan_Not_Paid*Values_Entered,Ending_Balance,""), "")</f>
        <v>342302179.94531232</v>
      </c>
    </row>
    <row r="39" spans="2:8">
      <c r="B39" s="396">
        <f>IFERROR(IF(Loan_Not_Paid*Values_Entered,Payment_Number,""), "")</f>
        <v>22</v>
      </c>
      <c r="C39" s="395"/>
      <c r="D39" s="394">
        <f>IFERROR(IF(Loan_Not_Paid*Values_Entered,Beginning_Balance,""), "")</f>
        <v>342302179.94531232</v>
      </c>
      <c r="E39" s="394">
        <f>IFERROR(IF(Loan_Not_Paid*Values_Entered,Monthly_Payment,""), "")</f>
        <v>2207847.2070036912</v>
      </c>
      <c r="F39" s="394">
        <f>IFERROR(IF(Loan_Not_Paid*Values_Entered,Principal,""), "")</f>
        <v>353710.39896658325</v>
      </c>
      <c r="G39" s="394">
        <f>IFERROR(IF(Loan_Not_Paid*Values_Entered,Interest,""), "")</f>
        <v>1854136.808037108</v>
      </c>
      <c r="H39" s="394">
        <f>IFERROR(IF(Loan_Not_Paid*Values_Entered,Ending_Balance,""), "")</f>
        <v>341948469.54634571</v>
      </c>
    </row>
    <row r="40" spans="2:8">
      <c r="B40" s="396">
        <f>IFERROR(IF(Loan_Not_Paid*Values_Entered,Payment_Number,""), "")</f>
        <v>23</v>
      </c>
      <c r="C40" s="395"/>
      <c r="D40" s="394">
        <f>IFERROR(IF(Loan_Not_Paid*Values_Entered,Beginning_Balance,""), "")</f>
        <v>341948469.54634571</v>
      </c>
      <c r="E40" s="394">
        <f>IFERROR(IF(Loan_Not_Paid*Values_Entered,Monthly_Payment,""), "")</f>
        <v>2207847.2070036912</v>
      </c>
      <c r="F40" s="394">
        <f>IFERROR(IF(Loan_Not_Paid*Values_Entered,Principal,""), "")</f>
        <v>355626.3302943189</v>
      </c>
      <c r="G40" s="394">
        <f>IFERROR(IF(Loan_Not_Paid*Values_Entered,Interest,""), "")</f>
        <v>1852220.8767093723</v>
      </c>
      <c r="H40" s="394">
        <f>IFERROR(IF(Loan_Not_Paid*Values_Entered,Ending_Balance,""), "")</f>
        <v>341592843.2160514</v>
      </c>
    </row>
    <row r="41" spans="2:8">
      <c r="B41" s="396">
        <f>IFERROR(IF(Loan_Not_Paid*Values_Entered,Payment_Number,""), "")</f>
        <v>24</v>
      </c>
      <c r="C41" s="395"/>
      <c r="D41" s="394">
        <f>IFERROR(IF(Loan_Not_Paid*Values_Entered,Beginning_Balance,""), "")</f>
        <v>341592843.2160514</v>
      </c>
      <c r="E41" s="394">
        <f>IFERROR(IF(Loan_Not_Paid*Values_Entered,Monthly_Payment,""), "")</f>
        <v>2207847.2070036912</v>
      </c>
      <c r="F41" s="394">
        <f>IFERROR(IF(Loan_Not_Paid*Values_Entered,Principal,""), "")</f>
        <v>357552.63958341308</v>
      </c>
      <c r="G41" s="394">
        <f>IFERROR(IF(Loan_Not_Paid*Values_Entered,Interest,""), "")</f>
        <v>1850294.5674202782</v>
      </c>
      <c r="H41" s="394">
        <f>IFERROR(IF(Loan_Not_Paid*Values_Entered,Ending_Balance,""), "")</f>
        <v>341235290.57646799</v>
      </c>
    </row>
    <row r="42" spans="2:8">
      <c r="B42" s="396">
        <f>IFERROR(IF(Loan_Not_Paid*Values_Entered,Payment_Number,""), "")</f>
        <v>25</v>
      </c>
      <c r="C42" s="395"/>
      <c r="D42" s="394">
        <f>IFERROR(IF(Loan_Not_Paid*Values_Entered,Beginning_Balance,""), "")</f>
        <v>341235290.57646799</v>
      </c>
      <c r="E42" s="394">
        <f>IFERROR(IF(Loan_Not_Paid*Values_Entered,Monthly_Payment,""), "")</f>
        <v>2207847.2070036912</v>
      </c>
      <c r="F42" s="394">
        <f>IFERROR(IF(Loan_Not_Paid*Values_Entered,Principal,""), "")</f>
        <v>359489.38304782333</v>
      </c>
      <c r="G42" s="394">
        <f>IFERROR(IF(Loan_Not_Paid*Values_Entered,Interest,""), "")</f>
        <v>1848357.8239558681</v>
      </c>
      <c r="H42" s="394">
        <f>IFERROR(IF(Loan_Not_Paid*Values_Entered,Ending_Balance,""), "")</f>
        <v>340875801.19342017</v>
      </c>
    </row>
    <row r="43" spans="2:8">
      <c r="B43" s="396">
        <f>IFERROR(IF(Loan_Not_Paid*Values_Entered,Payment_Number,""), "")</f>
        <v>26</v>
      </c>
      <c r="C43" s="395"/>
      <c r="D43" s="394">
        <f>IFERROR(IF(Loan_Not_Paid*Values_Entered,Beginning_Balance,""), "")</f>
        <v>340875801.19342017</v>
      </c>
      <c r="E43" s="394">
        <f>IFERROR(IF(Loan_Not_Paid*Values_Entered,Monthly_Payment,""), "")</f>
        <v>2207847.2070036912</v>
      </c>
      <c r="F43" s="394">
        <f>IFERROR(IF(Loan_Not_Paid*Values_Entered,Principal,""), "")</f>
        <v>361436.61720599898</v>
      </c>
      <c r="G43" s="394">
        <f>IFERROR(IF(Loan_Not_Paid*Values_Entered,Interest,""), "")</f>
        <v>1846410.5897976919</v>
      </c>
      <c r="H43" s="394">
        <f>IFERROR(IF(Loan_Not_Paid*Values_Entered,Ending_Balance,""), "")</f>
        <v>340514364.57621419</v>
      </c>
    </row>
    <row r="44" spans="2:8">
      <c r="B44" s="396">
        <f>IFERROR(IF(Loan_Not_Paid*Values_Entered,Payment_Number,""), "")</f>
        <v>27</v>
      </c>
      <c r="C44" s="395"/>
      <c r="D44" s="394">
        <f>IFERROR(IF(Loan_Not_Paid*Values_Entered,Beginning_Balance,""), "")</f>
        <v>340514364.57621419</v>
      </c>
      <c r="E44" s="394">
        <f>IFERROR(IF(Loan_Not_Paid*Values_Entered,Monthly_Payment,""), "")</f>
        <v>2207847.2070036912</v>
      </c>
      <c r="F44" s="394">
        <f>IFERROR(IF(Loan_Not_Paid*Values_Entered,Principal,""), "")</f>
        <v>363394.39888253144</v>
      </c>
      <c r="G44" s="394">
        <f>IFERROR(IF(Loan_Not_Paid*Values_Entered,Interest,""), "")</f>
        <v>1844452.8081211597</v>
      </c>
      <c r="H44" s="394">
        <f>IFERROR(IF(Loan_Not_Paid*Values_Entered,Ending_Balance,""), "")</f>
        <v>340150970.17733163</v>
      </c>
    </row>
    <row r="45" spans="2:8">
      <c r="B45" s="396">
        <f>IFERROR(IF(Loan_Not_Paid*Values_Entered,Payment_Number,""), "")</f>
        <v>28</v>
      </c>
      <c r="C45" s="395"/>
      <c r="D45" s="394">
        <f>IFERROR(IF(Loan_Not_Paid*Values_Entered,Beginning_Balance,""), "")</f>
        <v>340150970.17733163</v>
      </c>
      <c r="E45" s="394">
        <f>IFERROR(IF(Loan_Not_Paid*Values_Entered,Monthly_Payment,""), "")</f>
        <v>2207847.2070036912</v>
      </c>
      <c r="F45" s="394">
        <f>IFERROR(IF(Loan_Not_Paid*Values_Entered,Principal,""), "")</f>
        <v>365362.78520981182</v>
      </c>
      <c r="G45" s="394">
        <f>IFERROR(IF(Loan_Not_Paid*Values_Entered,Interest,""), "")</f>
        <v>1842484.4217938795</v>
      </c>
      <c r="H45" s="394">
        <f>IFERROR(IF(Loan_Not_Paid*Values_Entered,Ending_Balance,""), "")</f>
        <v>339785607.39212185</v>
      </c>
    </row>
    <row r="46" spans="2:8">
      <c r="B46" s="396">
        <f>IFERROR(IF(Loan_Not_Paid*Values_Entered,Payment_Number,""), "")</f>
        <v>29</v>
      </c>
      <c r="C46" s="395"/>
      <c r="D46" s="394">
        <f>IFERROR(IF(Loan_Not_Paid*Values_Entered,Beginning_Balance,""), "")</f>
        <v>339785607.39212185</v>
      </c>
      <c r="E46" s="394">
        <f>IFERROR(IF(Loan_Not_Paid*Values_Entered,Monthly_Payment,""), "")</f>
        <v>2207847.2070036912</v>
      </c>
      <c r="F46" s="394">
        <f>IFERROR(IF(Loan_Not_Paid*Values_Entered,Principal,""), "")</f>
        <v>367341.83362969838</v>
      </c>
      <c r="G46" s="394">
        <f>IFERROR(IF(Loan_Not_Paid*Values_Entered,Interest,""), "")</f>
        <v>1840505.3733739927</v>
      </c>
      <c r="H46" s="394">
        <f>IFERROR(IF(Loan_Not_Paid*Values_Entered,Ending_Balance,""), "")</f>
        <v>339418265.55849218</v>
      </c>
    </row>
    <row r="47" spans="2:8">
      <c r="B47" s="396">
        <f>IFERROR(IF(Loan_Not_Paid*Values_Entered,Payment_Number,""), "")</f>
        <v>30</v>
      </c>
      <c r="C47" s="395"/>
      <c r="D47" s="394">
        <f>IFERROR(IF(Loan_Not_Paid*Values_Entered,Beginning_Balance,""), "")</f>
        <v>339418265.55849218</v>
      </c>
      <c r="E47" s="394">
        <f>IFERROR(IF(Loan_Not_Paid*Values_Entered,Monthly_Payment,""), "")</f>
        <v>2207847.2070036912</v>
      </c>
      <c r="F47" s="394">
        <f>IFERROR(IF(Loan_Not_Paid*Values_Entered,Principal,""), "")</f>
        <v>369331.60189519264</v>
      </c>
      <c r="G47" s="394">
        <f>IFERROR(IF(Loan_Not_Paid*Values_Entered,Interest,""), "")</f>
        <v>1838515.6051084988</v>
      </c>
      <c r="H47" s="394">
        <f>IFERROR(IF(Loan_Not_Paid*Values_Entered,Ending_Balance,""), "")</f>
        <v>339048933.95659697</v>
      </c>
    </row>
    <row r="48" spans="2:8">
      <c r="B48" s="396">
        <f>IFERROR(IF(Loan_Not_Paid*Values_Entered,Payment_Number,""), "")</f>
        <v>31</v>
      </c>
      <c r="C48" s="395"/>
      <c r="D48" s="394">
        <f>IFERROR(IF(Loan_Not_Paid*Values_Entered,Beginning_Balance,""), "")</f>
        <v>339048933.95659697</v>
      </c>
      <c r="E48" s="394">
        <f>IFERROR(IF(Loan_Not_Paid*Values_Entered,Monthly_Payment,""), "")</f>
        <v>2207847.2070036912</v>
      </c>
      <c r="F48" s="394">
        <f>IFERROR(IF(Loan_Not_Paid*Values_Entered,Principal,""), "")</f>
        <v>371332.14807212481</v>
      </c>
      <c r="G48" s="394">
        <f>IFERROR(IF(Loan_Not_Paid*Values_Entered,Interest,""), "")</f>
        <v>1836515.0589315663</v>
      </c>
      <c r="H48" s="394">
        <f>IFERROR(IF(Loan_Not_Paid*Values_Entered,Ending_Balance,""), "")</f>
        <v>338677601.80852485</v>
      </c>
    </row>
    <row r="49" spans="2:8">
      <c r="B49" s="396">
        <f>IFERROR(IF(Loan_Not_Paid*Values_Entered,Payment_Number,""), "")</f>
        <v>32</v>
      </c>
      <c r="C49" s="395"/>
      <c r="D49" s="394">
        <f>IFERROR(IF(Loan_Not_Paid*Values_Entered,Beginning_Balance,""), "")</f>
        <v>338677601.80852485</v>
      </c>
      <c r="E49" s="394">
        <f>IFERROR(IF(Loan_Not_Paid*Values_Entered,Monthly_Payment,""), "")</f>
        <v>2207847.2070036912</v>
      </c>
      <c r="F49" s="394">
        <f>IFERROR(IF(Loan_Not_Paid*Values_Entered,Principal,""), "")</f>
        <v>373343.53054084891</v>
      </c>
      <c r="G49" s="394">
        <f>IFERROR(IF(Loan_Not_Paid*Values_Entered,Interest,""), "")</f>
        <v>1834503.6764628424</v>
      </c>
      <c r="H49" s="394">
        <f>IFERROR(IF(Loan_Not_Paid*Values_Entered,Ending_Balance,""), "")</f>
        <v>338304258.27798396</v>
      </c>
    </row>
    <row r="50" spans="2:8">
      <c r="B50" s="396">
        <f>IFERROR(IF(Loan_Not_Paid*Values_Entered,Payment_Number,""), "")</f>
        <v>33</v>
      </c>
      <c r="C50" s="395"/>
      <c r="D50" s="394">
        <f>IFERROR(IF(Loan_Not_Paid*Values_Entered,Beginning_Balance,""), "")</f>
        <v>338304258.27798396</v>
      </c>
      <c r="E50" s="394">
        <f>IFERROR(IF(Loan_Not_Paid*Values_Entered,Monthly_Payment,""), "")</f>
        <v>2207847.2070036912</v>
      </c>
      <c r="F50" s="394">
        <f>IFERROR(IF(Loan_Not_Paid*Values_Entered,Principal,""), "")</f>
        <v>375365.80799794517</v>
      </c>
      <c r="G50" s="394">
        <f>IFERROR(IF(Loan_Not_Paid*Values_Entered,Interest,""), "")</f>
        <v>1832481.3990057462</v>
      </c>
      <c r="H50" s="394">
        <f>IFERROR(IF(Loan_Not_Paid*Values_Entered,Ending_Balance,""), "")</f>
        <v>337928892.46998602</v>
      </c>
    </row>
    <row r="51" spans="2:8">
      <c r="B51" s="396">
        <f>IFERROR(IF(Loan_Not_Paid*Values_Entered,Payment_Number,""), "")</f>
        <v>34</v>
      </c>
      <c r="C51" s="395"/>
      <c r="D51" s="394">
        <f>IFERROR(IF(Loan_Not_Paid*Values_Entered,Beginning_Balance,""), "")</f>
        <v>337928892.46998602</v>
      </c>
      <c r="E51" s="394">
        <f>IFERROR(IF(Loan_Not_Paid*Values_Entered,Monthly_Payment,""), "")</f>
        <v>2207847.2070036912</v>
      </c>
      <c r="F51" s="394">
        <f>IFERROR(IF(Loan_Not_Paid*Values_Entered,Principal,""), "")</f>
        <v>377399.03945793404</v>
      </c>
      <c r="G51" s="394">
        <f>IFERROR(IF(Loan_Not_Paid*Values_Entered,Interest,""), "")</f>
        <v>1830448.167545757</v>
      </c>
      <c r="H51" s="394">
        <f>IFERROR(IF(Loan_Not_Paid*Values_Entered,Ending_Balance,""), "")</f>
        <v>337551493.4305281</v>
      </c>
    </row>
    <row r="52" spans="2:8">
      <c r="B52" s="396">
        <f>IFERROR(IF(Loan_Not_Paid*Values_Entered,Payment_Number,""), "")</f>
        <v>35</v>
      </c>
      <c r="C52" s="395"/>
      <c r="D52" s="394">
        <f>IFERROR(IF(Loan_Not_Paid*Values_Entered,Beginning_Balance,""), "")</f>
        <v>337551493.4305281</v>
      </c>
      <c r="E52" s="394">
        <f>IFERROR(IF(Loan_Not_Paid*Values_Entered,Monthly_Payment,""), "")</f>
        <v>2207847.2070036912</v>
      </c>
      <c r="F52" s="394">
        <f>IFERROR(IF(Loan_Not_Paid*Values_Entered,Principal,""), "")</f>
        <v>379443.28425499774</v>
      </c>
      <c r="G52" s="394">
        <f>IFERROR(IF(Loan_Not_Paid*Values_Entered,Interest,""), "")</f>
        <v>1828403.9227486933</v>
      </c>
      <c r="H52" s="394">
        <f>IFERROR(IF(Loan_Not_Paid*Values_Entered,Ending_Balance,""), "")</f>
        <v>337172050.14627314</v>
      </c>
    </row>
    <row r="53" spans="2:8">
      <c r="B53" s="396">
        <f>IFERROR(IF(Loan_Not_Paid*Values_Entered,Payment_Number,""), "")</f>
        <v>36</v>
      </c>
      <c r="C53" s="395"/>
      <c r="D53" s="394">
        <f>IFERROR(IF(Loan_Not_Paid*Values_Entered,Beginning_Balance,""), "")</f>
        <v>337172050.14627314</v>
      </c>
      <c r="E53" s="394">
        <f>IFERROR(IF(Loan_Not_Paid*Values_Entered,Monthly_Payment,""), "")</f>
        <v>2207847.2070036912</v>
      </c>
      <c r="F53" s="394">
        <f>IFERROR(IF(Loan_Not_Paid*Values_Entered,Principal,""), "")</f>
        <v>381498.60204471234</v>
      </c>
      <c r="G53" s="394">
        <f>IFERROR(IF(Loan_Not_Paid*Values_Entered,Interest,""), "")</f>
        <v>1826348.6049589789</v>
      </c>
      <c r="H53" s="394">
        <f>IFERROR(IF(Loan_Not_Paid*Values_Entered,Ending_Balance,""), "")</f>
        <v>336790551.54422843</v>
      </c>
    </row>
    <row r="54" spans="2:8">
      <c r="B54" s="396">
        <f>IFERROR(IF(Loan_Not_Paid*Values_Entered,Payment_Number,""), "")</f>
        <v>37</v>
      </c>
      <c r="C54" s="395"/>
      <c r="D54" s="394">
        <f>IFERROR(IF(Loan_Not_Paid*Values_Entered,Beginning_Balance,""), "")</f>
        <v>336790551.54422843</v>
      </c>
      <c r="E54" s="394">
        <f>IFERROR(IF(Loan_Not_Paid*Values_Entered,Monthly_Payment,""), "")</f>
        <v>2207847.2070036912</v>
      </c>
      <c r="F54" s="394">
        <f>IFERROR(IF(Loan_Not_Paid*Values_Entered,Principal,""), "")</f>
        <v>383565.05280578788</v>
      </c>
      <c r="G54" s="394">
        <f>IFERROR(IF(Loan_Not_Paid*Values_Entered,Interest,""), "")</f>
        <v>1824282.1541979033</v>
      </c>
      <c r="H54" s="394">
        <f>IFERROR(IF(Loan_Not_Paid*Values_Entered,Ending_Balance,""), "")</f>
        <v>336406986.49142259</v>
      </c>
    </row>
    <row r="55" spans="2:8">
      <c r="B55" s="396">
        <f>IFERROR(IF(Loan_Not_Paid*Values_Entered,Payment_Number,""), "")</f>
        <v>38</v>
      </c>
      <c r="C55" s="395"/>
      <c r="D55" s="394">
        <f>IFERROR(IF(Loan_Not_Paid*Values_Entered,Beginning_Balance,""), "")</f>
        <v>336406986.49142259</v>
      </c>
      <c r="E55" s="394">
        <f>IFERROR(IF(Loan_Not_Paid*Values_Entered,Monthly_Payment,""), "")</f>
        <v>2207847.2070036912</v>
      </c>
      <c r="F55" s="394">
        <f>IFERROR(IF(Loan_Not_Paid*Values_Entered,Principal,""), "")</f>
        <v>385642.69684181915</v>
      </c>
      <c r="G55" s="394">
        <f>IFERROR(IF(Loan_Not_Paid*Values_Entered,Interest,""), "")</f>
        <v>1822204.510161872</v>
      </c>
      <c r="H55" s="394">
        <f>IFERROR(IF(Loan_Not_Paid*Values_Entered,Ending_Balance,""), "")</f>
        <v>336021343.79458082</v>
      </c>
    </row>
    <row r="56" spans="2:8">
      <c r="B56" s="396">
        <f>IFERROR(IF(Loan_Not_Paid*Values_Entered,Payment_Number,""), "")</f>
        <v>39</v>
      </c>
      <c r="C56" s="395"/>
      <c r="D56" s="394">
        <f>IFERROR(IF(Loan_Not_Paid*Values_Entered,Beginning_Balance,""), "")</f>
        <v>336021343.79458082</v>
      </c>
      <c r="E56" s="394">
        <f>IFERROR(IF(Loan_Not_Paid*Values_Entered,Monthly_Payment,""), "")</f>
        <v>2207847.2070036912</v>
      </c>
      <c r="F56" s="394">
        <f>IFERROR(IF(Loan_Not_Paid*Values_Entered,Principal,""), "")</f>
        <v>387731.59478304582</v>
      </c>
      <c r="G56" s="394">
        <f>IFERROR(IF(Loan_Not_Paid*Values_Entered,Interest,""), "")</f>
        <v>1820115.6122206454</v>
      </c>
      <c r="H56" s="394">
        <f>IFERROR(IF(Loan_Not_Paid*Values_Entered,Ending_Balance,""), "")</f>
        <v>335633612.19979775</v>
      </c>
    </row>
    <row r="57" spans="2:8">
      <c r="B57" s="396">
        <f>IFERROR(IF(Loan_Not_Paid*Values_Entered,Payment_Number,""), "")</f>
        <v>40</v>
      </c>
      <c r="C57" s="395"/>
      <c r="D57" s="394">
        <f>IFERROR(IF(Loan_Not_Paid*Values_Entered,Beginning_Balance,""), "")</f>
        <v>335633612.19979775</v>
      </c>
      <c r="E57" s="394">
        <f>IFERROR(IF(Loan_Not_Paid*Values_Entered,Monthly_Payment,""), "")</f>
        <v>2207847.2070036912</v>
      </c>
      <c r="F57" s="394">
        <f>IFERROR(IF(Loan_Not_Paid*Values_Entered,Principal,""), "")</f>
        <v>389831.80758812057</v>
      </c>
      <c r="G57" s="394">
        <f>IFERROR(IF(Loan_Not_Paid*Values_Entered,Interest,""), "")</f>
        <v>1818015.3994155708</v>
      </c>
      <c r="H57" s="394">
        <f>IFERROR(IF(Loan_Not_Paid*Values_Entered,Ending_Balance,""), "")</f>
        <v>335243780.39220965</v>
      </c>
    </row>
    <row r="58" spans="2:8">
      <c r="B58" s="396">
        <f>IFERROR(IF(Loan_Not_Paid*Values_Entered,Payment_Number,""), "")</f>
        <v>41</v>
      </c>
      <c r="C58" s="395"/>
      <c r="D58" s="394">
        <f>IFERROR(IF(Loan_Not_Paid*Values_Entered,Beginning_Balance,""), "")</f>
        <v>335243780.39220965</v>
      </c>
      <c r="E58" s="394">
        <f>IFERROR(IF(Loan_Not_Paid*Values_Entered,Monthly_Payment,""), "")</f>
        <v>2207847.2070036912</v>
      </c>
      <c r="F58" s="394">
        <f>IFERROR(IF(Loan_Not_Paid*Values_Entered,Principal,""), "")</f>
        <v>391943.39654588955</v>
      </c>
      <c r="G58" s="394">
        <f>IFERROR(IF(Loan_Not_Paid*Values_Entered,Interest,""), "")</f>
        <v>1815903.8104578017</v>
      </c>
      <c r="H58" s="394">
        <f>IFERROR(IF(Loan_Not_Paid*Values_Entered,Ending_Balance,""), "")</f>
        <v>334851836.99566382</v>
      </c>
    </row>
    <row r="59" spans="2:8">
      <c r="B59" s="396">
        <f>IFERROR(IF(Loan_Not_Paid*Values_Entered,Payment_Number,""), "")</f>
        <v>42</v>
      </c>
      <c r="C59" s="395"/>
      <c r="D59" s="394">
        <f>IFERROR(IF(Loan_Not_Paid*Values_Entered,Beginning_Balance,""), "")</f>
        <v>334851836.99566382</v>
      </c>
      <c r="E59" s="394">
        <f>IFERROR(IF(Loan_Not_Paid*Values_Entered,Monthly_Payment,""), "")</f>
        <v>2207847.2070036912</v>
      </c>
      <c r="F59" s="394">
        <f>IFERROR(IF(Loan_Not_Paid*Values_Entered,Principal,""), "")</f>
        <v>394066.42327717977</v>
      </c>
      <c r="G59" s="394">
        <f>IFERROR(IF(Loan_Not_Paid*Values_Entered,Interest,""), "")</f>
        <v>1813780.7837265115</v>
      </c>
      <c r="H59" s="394">
        <f>IFERROR(IF(Loan_Not_Paid*Values_Entered,Ending_Balance,""), "")</f>
        <v>334457770.57238662</v>
      </c>
    </row>
    <row r="60" spans="2:8">
      <c r="B60" s="396">
        <f>IFERROR(IF(Loan_Not_Paid*Values_Entered,Payment_Number,""), "")</f>
        <v>43</v>
      </c>
      <c r="C60" s="395"/>
      <c r="D60" s="394">
        <f>IFERROR(IF(Loan_Not_Paid*Values_Entered,Beginning_Balance,""), "")</f>
        <v>334457770.57238662</v>
      </c>
      <c r="E60" s="394">
        <f>IFERROR(IF(Loan_Not_Paid*Values_Entered,Monthly_Payment,""), "")</f>
        <v>2207847.2070036912</v>
      </c>
      <c r="F60" s="394">
        <f>IFERROR(IF(Loan_Not_Paid*Values_Entered,Principal,""), "")</f>
        <v>396200.94973659795</v>
      </c>
      <c r="G60" s="394">
        <f>IFERROR(IF(Loan_Not_Paid*Values_Entered,Interest,""), "")</f>
        <v>1811646.2572670933</v>
      </c>
      <c r="H60" s="394">
        <f>IFERROR(IF(Loan_Not_Paid*Values_Entered,Ending_Balance,""), "")</f>
        <v>334061569.62265003</v>
      </c>
    </row>
    <row r="61" spans="2:8">
      <c r="B61" s="396">
        <f>IFERROR(IF(Loan_Not_Paid*Values_Entered,Payment_Number,""), "")</f>
        <v>44</v>
      </c>
      <c r="C61" s="395"/>
      <c r="D61" s="394">
        <f>IFERROR(IF(Loan_Not_Paid*Values_Entered,Beginning_Balance,""), "")</f>
        <v>334061569.62265003</v>
      </c>
      <c r="E61" s="394">
        <f>IFERROR(IF(Loan_Not_Paid*Values_Entered,Monthly_Payment,""), "")</f>
        <v>2207847.2070036912</v>
      </c>
      <c r="F61" s="394">
        <f>IFERROR(IF(Loan_Not_Paid*Values_Entered,Principal,""), "")</f>
        <v>398347.03821433784</v>
      </c>
      <c r="G61" s="394">
        <f>IFERROR(IF(Loan_Not_Paid*Values_Entered,Interest,""), "")</f>
        <v>1809500.1687893535</v>
      </c>
      <c r="H61" s="394">
        <f>IFERROR(IF(Loan_Not_Paid*Values_Entered,Ending_Balance,""), "")</f>
        <v>333663222.5844357</v>
      </c>
    </row>
    <row r="62" spans="2:8">
      <c r="B62" s="396">
        <f>IFERROR(IF(Loan_Not_Paid*Values_Entered,Payment_Number,""), "")</f>
        <v>45</v>
      </c>
      <c r="C62" s="395"/>
      <c r="D62" s="394">
        <f>IFERROR(IF(Loan_Not_Paid*Values_Entered,Beginning_Balance,""), "")</f>
        <v>333663222.5844357</v>
      </c>
      <c r="E62" s="394">
        <f>IFERROR(IF(Loan_Not_Paid*Values_Entered,Monthly_Payment,""), "")</f>
        <v>2207847.2070036912</v>
      </c>
      <c r="F62" s="394">
        <f>IFERROR(IF(Loan_Not_Paid*Values_Entered,Principal,""), "")</f>
        <v>400504.75133799866</v>
      </c>
      <c r="G62" s="394">
        <f>IFERROR(IF(Loan_Not_Paid*Values_Entered,Interest,""), "")</f>
        <v>1807342.4556656925</v>
      </c>
      <c r="H62" s="394">
        <f>IFERROR(IF(Loan_Not_Paid*Values_Entered,Ending_Balance,""), "")</f>
        <v>333262717.8330977</v>
      </c>
    </row>
    <row r="63" spans="2:8">
      <c r="B63" s="396">
        <f>IFERROR(IF(Loan_Not_Paid*Values_Entered,Payment_Number,""), "")</f>
        <v>46</v>
      </c>
      <c r="C63" s="395"/>
      <c r="D63" s="394">
        <f>IFERROR(IF(Loan_Not_Paid*Values_Entered,Beginning_Balance,""), "")</f>
        <v>333262717.8330977</v>
      </c>
      <c r="E63" s="394">
        <f>IFERROR(IF(Loan_Not_Paid*Values_Entered,Monthly_Payment,""), "")</f>
        <v>2207847.2070036912</v>
      </c>
      <c r="F63" s="394">
        <f>IFERROR(IF(Loan_Not_Paid*Values_Entered,Principal,""), "")</f>
        <v>402674.15207441285</v>
      </c>
      <c r="G63" s="394">
        <f>IFERROR(IF(Loan_Not_Paid*Values_Entered,Interest,""), "")</f>
        <v>1805173.0549292783</v>
      </c>
      <c r="H63" s="394">
        <f>IFERROR(IF(Loan_Not_Paid*Values_Entered,Ending_Balance,""), "")</f>
        <v>332860043.6810233</v>
      </c>
    </row>
    <row r="64" spans="2:8">
      <c r="B64" s="396">
        <f>IFERROR(IF(Loan_Not_Paid*Values_Entered,Payment_Number,""), "")</f>
        <v>47</v>
      </c>
      <c r="C64" s="395"/>
      <c r="D64" s="394">
        <f>IFERROR(IF(Loan_Not_Paid*Values_Entered,Beginning_Balance,""), "")</f>
        <v>332860043.6810233</v>
      </c>
      <c r="E64" s="394">
        <f>IFERROR(IF(Loan_Not_Paid*Values_Entered,Monthly_Payment,""), "")</f>
        <v>2207847.2070036912</v>
      </c>
      <c r="F64" s="394">
        <f>IFERROR(IF(Loan_Not_Paid*Values_Entered,Principal,""), "")</f>
        <v>404855.30373148265</v>
      </c>
      <c r="G64" s="394">
        <f>IFERROR(IF(Loan_Not_Paid*Values_Entered,Interest,""), "")</f>
        <v>1802991.9032722085</v>
      </c>
      <c r="H64" s="394">
        <f>IFERROR(IF(Loan_Not_Paid*Values_Entered,Ending_Balance,""), "")</f>
        <v>332455188.3772918</v>
      </c>
    </row>
    <row r="65" spans="2:8">
      <c r="B65" s="396">
        <f>IFERROR(IF(Loan_Not_Paid*Values_Entered,Payment_Number,""), "")</f>
        <v>48</v>
      </c>
      <c r="C65" s="395"/>
      <c r="D65" s="394">
        <f>IFERROR(IF(Loan_Not_Paid*Values_Entered,Beginning_Balance,""), "")</f>
        <v>332455188.3772918</v>
      </c>
      <c r="E65" s="394">
        <f>IFERROR(IF(Loan_Not_Paid*Values_Entered,Monthly_Payment,""), "")</f>
        <v>2207847.2070036912</v>
      </c>
      <c r="F65" s="394">
        <f>IFERROR(IF(Loan_Not_Paid*Values_Entered,Principal,""), "")</f>
        <v>407048.26996002824</v>
      </c>
      <c r="G65" s="394">
        <f>IFERROR(IF(Loan_Not_Paid*Values_Entered,Interest,""), "")</f>
        <v>1800798.9370436631</v>
      </c>
      <c r="H65" s="394">
        <f>IFERROR(IF(Loan_Not_Paid*Values_Entered,Ending_Balance,""), "")</f>
        <v>332048140.10733175</v>
      </c>
    </row>
    <row r="66" spans="2:8">
      <c r="B66" s="396">
        <f>IFERROR(IF(Loan_Not_Paid*Values_Entered,Payment_Number,""), "")</f>
        <v>49</v>
      </c>
      <c r="C66" s="395"/>
      <c r="D66" s="394">
        <f>IFERROR(IF(Loan_Not_Paid*Values_Entered,Beginning_Balance,""), "")</f>
        <v>332048140.10733175</v>
      </c>
      <c r="E66" s="394">
        <f>IFERROR(IF(Loan_Not_Paid*Values_Entered,Monthly_Payment,""), "")</f>
        <v>2207847.2070036912</v>
      </c>
      <c r="F66" s="394">
        <f>IFERROR(IF(Loan_Not_Paid*Values_Entered,Principal,""), "")</f>
        <v>409253.11475564505</v>
      </c>
      <c r="G66" s="394">
        <f>IFERROR(IF(Loan_Not_Paid*Values_Entered,Interest,""), "")</f>
        <v>1798594.0922480461</v>
      </c>
      <c r="H66" s="394">
        <f>IFERROR(IF(Loan_Not_Paid*Values_Entered,Ending_Balance,""), "")</f>
        <v>331638886.99257618</v>
      </c>
    </row>
    <row r="67" spans="2:8">
      <c r="B67" s="396">
        <f>IFERROR(IF(Loan_Not_Paid*Values_Entered,Payment_Number,""), "")</f>
        <v>50</v>
      </c>
      <c r="C67" s="395"/>
      <c r="D67" s="394">
        <f>IFERROR(IF(Loan_Not_Paid*Values_Entered,Beginning_Balance,""), "")</f>
        <v>331638886.99257618</v>
      </c>
      <c r="E67" s="394">
        <f>IFERROR(IF(Loan_Not_Paid*Values_Entered,Monthly_Payment,""), "")</f>
        <v>2207847.2070036912</v>
      </c>
      <c r="F67" s="394">
        <f>IFERROR(IF(Loan_Not_Paid*Values_Entered,Principal,""), "")</f>
        <v>411469.90246057138</v>
      </c>
      <c r="G67" s="394">
        <f>IFERROR(IF(Loan_Not_Paid*Values_Entered,Interest,""), "")</f>
        <v>1796377.3045431199</v>
      </c>
      <c r="H67" s="394">
        <f>IFERROR(IF(Loan_Not_Paid*Values_Entered,Ending_Balance,""), "")</f>
        <v>331227417.09011561</v>
      </c>
    </row>
    <row r="68" spans="2:8">
      <c r="B68" s="396">
        <f>IFERROR(IF(Loan_Not_Paid*Values_Entered,Payment_Number,""), "")</f>
        <v>51</v>
      </c>
      <c r="C68" s="395"/>
      <c r="D68" s="394">
        <f>IFERROR(IF(Loan_Not_Paid*Values_Entered,Beginning_Balance,""), "")</f>
        <v>331227417.09011561</v>
      </c>
      <c r="E68" s="394">
        <f>IFERROR(IF(Loan_Not_Paid*Values_Entered,Monthly_Payment,""), "")</f>
        <v>2207847.2070036912</v>
      </c>
      <c r="F68" s="394">
        <f>IFERROR(IF(Loan_Not_Paid*Values_Entered,Principal,""), "")</f>
        <v>413698.69776556618</v>
      </c>
      <c r="G68" s="394">
        <f>IFERROR(IF(Loan_Not_Paid*Values_Entered,Interest,""), "")</f>
        <v>1794148.5092381251</v>
      </c>
      <c r="H68" s="394">
        <f>IFERROR(IF(Loan_Not_Paid*Values_Entered,Ending_Balance,""), "")</f>
        <v>330813718.39234996</v>
      </c>
    </row>
    <row r="69" spans="2:8">
      <c r="B69" s="396">
        <f>IFERROR(IF(Loan_Not_Paid*Values_Entered,Payment_Number,""), "")</f>
        <v>52</v>
      </c>
      <c r="C69" s="395"/>
      <c r="D69" s="394">
        <f>IFERROR(IF(Loan_Not_Paid*Values_Entered,Beginning_Balance,""), "")</f>
        <v>330813718.39234996</v>
      </c>
      <c r="E69" s="394">
        <f>IFERROR(IF(Loan_Not_Paid*Values_Entered,Monthly_Payment,""), "")</f>
        <v>2207847.2070036912</v>
      </c>
      <c r="F69" s="394">
        <f>IFERROR(IF(Loan_Not_Paid*Values_Entered,Principal,""), "")</f>
        <v>415939.56571179634</v>
      </c>
      <c r="G69" s="394">
        <f>IFERROR(IF(Loan_Not_Paid*Values_Entered,Interest,""), "")</f>
        <v>1791907.6412918947</v>
      </c>
      <c r="H69" s="394">
        <f>IFERROR(IF(Loan_Not_Paid*Values_Entered,Ending_Balance,""), "")</f>
        <v>330397778.82663822</v>
      </c>
    </row>
    <row r="70" spans="2:8">
      <c r="B70" s="396">
        <f>IFERROR(IF(Loan_Not_Paid*Values_Entered,Payment_Number,""), "")</f>
        <v>53</v>
      </c>
      <c r="C70" s="395"/>
      <c r="D70" s="394">
        <f>IFERROR(IF(Loan_Not_Paid*Values_Entered,Beginning_Balance,""), "")</f>
        <v>330397778.82663822</v>
      </c>
      <c r="E70" s="394">
        <f>IFERROR(IF(Loan_Not_Paid*Values_Entered,Monthly_Payment,""), "")</f>
        <v>2207847.2070036912</v>
      </c>
      <c r="F70" s="394">
        <f>IFERROR(IF(Loan_Not_Paid*Values_Entered,Principal,""), "")</f>
        <v>418192.57169273525</v>
      </c>
      <c r="G70" s="394">
        <f>IFERROR(IF(Loan_Not_Paid*Values_Entered,Interest,""), "")</f>
        <v>1789654.635310956</v>
      </c>
      <c r="H70" s="394">
        <f>IFERROR(IF(Loan_Not_Paid*Values_Entered,Ending_Balance,""), "")</f>
        <v>329979586.25494552</v>
      </c>
    </row>
    <row r="71" spans="2:8">
      <c r="B71" s="396">
        <f>IFERROR(IF(Loan_Not_Paid*Values_Entered,Payment_Number,""), "")</f>
        <v>54</v>
      </c>
      <c r="C71" s="395"/>
      <c r="D71" s="394">
        <f>IFERROR(IF(Loan_Not_Paid*Values_Entered,Beginning_Balance,""), "")</f>
        <v>329979586.25494552</v>
      </c>
      <c r="E71" s="394">
        <f>IFERROR(IF(Loan_Not_Paid*Values_Entered,Monthly_Payment,""), "")</f>
        <v>2207847.2070036912</v>
      </c>
      <c r="F71" s="394">
        <f>IFERROR(IF(Loan_Not_Paid*Values_Entered,Principal,""), "")</f>
        <v>420457.78145607089</v>
      </c>
      <c r="G71" s="394">
        <f>IFERROR(IF(Loan_Not_Paid*Values_Entered,Interest,""), "")</f>
        <v>1787389.4255476203</v>
      </c>
      <c r="H71" s="394">
        <f>IFERROR(IF(Loan_Not_Paid*Values_Entered,Ending_Balance,""), "")</f>
        <v>329559128.4734894</v>
      </c>
    </row>
    <row r="72" spans="2:8">
      <c r="B72" s="396">
        <f>IFERROR(IF(Loan_Not_Paid*Values_Entered,Payment_Number,""), "")</f>
        <v>55</v>
      </c>
      <c r="C72" s="395"/>
      <c r="D72" s="394">
        <f>IFERROR(IF(Loan_Not_Paid*Values_Entered,Beginning_Balance,""), "")</f>
        <v>329559128.4734894</v>
      </c>
      <c r="E72" s="394">
        <f>IFERROR(IF(Loan_Not_Paid*Values_Entered,Monthly_Payment,""), "")</f>
        <v>2207847.2070036912</v>
      </c>
      <c r="F72" s="394">
        <f>IFERROR(IF(Loan_Not_Paid*Values_Entered,Principal,""), "")</f>
        <v>422735.26110562455</v>
      </c>
      <c r="G72" s="394">
        <f>IFERROR(IF(Loan_Not_Paid*Values_Entered,Interest,""), "")</f>
        <v>1785111.9458980667</v>
      </c>
      <c r="H72" s="394">
        <f>IFERROR(IF(Loan_Not_Paid*Values_Entered,Ending_Balance,""), "")</f>
        <v>329136393.21238381</v>
      </c>
    </row>
    <row r="73" spans="2:8">
      <c r="B73" s="396">
        <f>IFERROR(IF(Loan_Not_Paid*Values_Entered,Payment_Number,""), "")</f>
        <v>56</v>
      </c>
      <c r="C73" s="395"/>
      <c r="D73" s="394">
        <f>IFERROR(IF(Loan_Not_Paid*Values_Entered,Beginning_Balance,""), "")</f>
        <v>329136393.21238381</v>
      </c>
      <c r="E73" s="394">
        <f>IFERROR(IF(Loan_Not_Paid*Values_Entered,Monthly_Payment,""), "")</f>
        <v>2207847.2070036912</v>
      </c>
      <c r="F73" s="394">
        <f>IFERROR(IF(Loan_Not_Paid*Values_Entered,Principal,""), "")</f>
        <v>425025.07710328011</v>
      </c>
      <c r="G73" s="394">
        <f>IFERROR(IF(Loan_Not_Paid*Values_Entered,Interest,""), "")</f>
        <v>1782822.129900411</v>
      </c>
      <c r="H73" s="394">
        <f>IFERROR(IF(Loan_Not_Paid*Values_Entered,Ending_Balance,""), "")</f>
        <v>328711368.13528049</v>
      </c>
    </row>
    <row r="74" spans="2:8">
      <c r="B74" s="396">
        <f>IFERROR(IF(Loan_Not_Paid*Values_Entered,Payment_Number,""), "")</f>
        <v>57</v>
      </c>
      <c r="C74" s="395"/>
      <c r="D74" s="394">
        <f>IFERROR(IF(Loan_Not_Paid*Values_Entered,Beginning_Balance,""), "")</f>
        <v>328711368.13528049</v>
      </c>
      <c r="E74" s="394">
        <f>IFERROR(IF(Loan_Not_Paid*Values_Entered,Monthly_Payment,""), "")</f>
        <v>2207847.2070036912</v>
      </c>
      <c r="F74" s="394">
        <f>IFERROR(IF(Loan_Not_Paid*Values_Entered,Principal,""), "")</f>
        <v>427327.29627092282</v>
      </c>
      <c r="G74" s="394">
        <f>IFERROR(IF(Loan_Not_Paid*Values_Entered,Interest,""), "")</f>
        <v>1780519.9107327685</v>
      </c>
      <c r="H74" s="394">
        <f>IFERROR(IF(Loan_Not_Paid*Values_Entered,Ending_Balance,""), "")</f>
        <v>328284040.83900964</v>
      </c>
    </row>
    <row r="75" spans="2:8">
      <c r="B75" s="396">
        <f>IFERROR(IF(Loan_Not_Paid*Values_Entered,Payment_Number,""), "")</f>
        <v>58</v>
      </c>
      <c r="C75" s="395"/>
      <c r="D75" s="394">
        <f>IFERROR(IF(Loan_Not_Paid*Values_Entered,Beginning_Balance,""), "")</f>
        <v>328284040.83900964</v>
      </c>
      <c r="E75" s="394">
        <f>IFERROR(IF(Loan_Not_Paid*Values_Entered,Monthly_Payment,""), "")</f>
        <v>2207847.2070036912</v>
      </c>
      <c r="F75" s="394">
        <f>IFERROR(IF(Loan_Not_Paid*Values_Entered,Principal,""), "")</f>
        <v>429641.98579239036</v>
      </c>
      <c r="G75" s="394">
        <f>IFERROR(IF(Loan_Not_Paid*Values_Entered,Interest,""), "")</f>
        <v>1778205.2212113007</v>
      </c>
      <c r="H75" s="394">
        <f>IFERROR(IF(Loan_Not_Paid*Values_Entered,Ending_Balance,""), "")</f>
        <v>327854398.85321718</v>
      </c>
    </row>
    <row r="76" spans="2:8">
      <c r="B76" s="396">
        <f>IFERROR(IF(Loan_Not_Paid*Values_Entered,Payment_Number,""), "")</f>
        <v>59</v>
      </c>
      <c r="C76" s="395"/>
      <c r="D76" s="394">
        <f>IFERROR(IF(Loan_Not_Paid*Values_Entered,Beginning_Balance,""), "")</f>
        <v>327854398.85321718</v>
      </c>
      <c r="E76" s="394">
        <f>IFERROR(IF(Loan_Not_Paid*Values_Entered,Monthly_Payment,""), "")</f>
        <v>2207847.2070036912</v>
      </c>
      <c r="F76" s="394">
        <f>IFERROR(IF(Loan_Not_Paid*Values_Entered,Principal,""), "")</f>
        <v>431969.21321543254</v>
      </c>
      <c r="G76" s="394">
        <f>IFERROR(IF(Loan_Not_Paid*Values_Entered,Interest,""), "")</f>
        <v>1775877.9937882589</v>
      </c>
      <c r="H76" s="394">
        <f>IFERROR(IF(Loan_Not_Paid*Values_Entered,Ending_Balance,""), "")</f>
        <v>327422429.64000183</v>
      </c>
    </row>
    <row r="77" spans="2:8">
      <c r="B77" s="396">
        <f>IFERROR(IF(Loan_Not_Paid*Values_Entered,Payment_Number,""), "")</f>
        <v>60</v>
      </c>
      <c r="C77" s="395"/>
      <c r="D77" s="394">
        <f>IFERROR(IF(Loan_Not_Paid*Values_Entered,Beginning_Balance,""), "")</f>
        <v>327422429.64000183</v>
      </c>
      <c r="E77" s="394">
        <f>IFERROR(IF(Loan_Not_Paid*Values_Entered,Monthly_Payment,""), "")</f>
        <v>2207847.2070036912</v>
      </c>
      <c r="F77" s="394">
        <f>IFERROR(IF(Loan_Not_Paid*Values_Entered,Principal,""), "")</f>
        <v>434309.04645368271</v>
      </c>
      <c r="G77" s="394">
        <f>IFERROR(IF(Loan_Not_Paid*Values_Entered,Interest,""), "")</f>
        <v>1773538.1605500088</v>
      </c>
      <c r="H77" s="394">
        <f>IFERROR(IF(Loan_Not_Paid*Values_Entered,Ending_Balance,""), "")</f>
        <v>326988120.59354812</v>
      </c>
    </row>
    <row r="78" spans="2:8">
      <c r="B78" s="396">
        <f>IFERROR(IF(Loan_Not_Paid*Values_Entered,Payment_Number,""), "")</f>
        <v>61</v>
      </c>
      <c r="C78" s="395"/>
      <c r="D78" s="394">
        <f>IFERROR(IF(Loan_Not_Paid*Values_Entered,Beginning_Balance,""), "")</f>
        <v>326988120.59354812</v>
      </c>
      <c r="E78" s="394">
        <f>IFERROR(IF(Loan_Not_Paid*Values_Entered,Monthly_Payment,""), "")</f>
        <v>2207847.2070036912</v>
      </c>
      <c r="F78" s="394">
        <f>IFERROR(IF(Loan_Not_Paid*Values_Entered,Principal,""), "")</f>
        <v>436661.55378864025</v>
      </c>
      <c r="G78" s="394">
        <f>IFERROR(IF(Loan_Not_Paid*Values_Entered,Interest,""), "")</f>
        <v>1771185.6532150512</v>
      </c>
      <c r="H78" s="394">
        <f>IFERROR(IF(Loan_Not_Paid*Values_Entered,Ending_Balance,""), "")</f>
        <v>326551459.03975952</v>
      </c>
    </row>
    <row r="79" spans="2:8">
      <c r="B79" s="396">
        <f>IFERROR(IF(Loan_Not_Paid*Values_Entered,Payment_Number,""), "")</f>
        <v>62</v>
      </c>
      <c r="C79" s="395"/>
      <c r="D79" s="394">
        <f>IFERROR(IF(Loan_Not_Paid*Values_Entered,Beginning_Balance,""), "")</f>
        <v>326551459.03975952</v>
      </c>
      <c r="E79" s="394">
        <f>IFERROR(IF(Loan_Not_Paid*Values_Entered,Monthly_Payment,""), "")</f>
        <v>2207847.2070036912</v>
      </c>
      <c r="F79" s="394">
        <f>IFERROR(IF(Loan_Not_Paid*Values_Entered,Principal,""), "")</f>
        <v>439026.80387166201</v>
      </c>
      <c r="G79" s="394">
        <f>IFERROR(IF(Loan_Not_Paid*Values_Entered,Interest,""), "")</f>
        <v>1768820.4031320291</v>
      </c>
      <c r="H79" s="394">
        <f>IFERROR(IF(Loan_Not_Paid*Values_Entered,Ending_Balance,""), "")</f>
        <v>326112432.23588789</v>
      </c>
    </row>
    <row r="80" spans="2:8">
      <c r="B80" s="396">
        <f>IFERROR(IF(Loan_Not_Paid*Values_Entered,Payment_Number,""), "")</f>
        <v>63</v>
      </c>
      <c r="C80" s="395"/>
      <c r="D80" s="394">
        <f>IFERROR(IF(Loan_Not_Paid*Values_Entered,Beginning_Balance,""), "")</f>
        <v>326112432.23588789</v>
      </c>
      <c r="E80" s="394">
        <f>IFERROR(IF(Loan_Not_Paid*Values_Entered,Monthly_Payment,""), "")</f>
        <v>2207847.2070036912</v>
      </c>
      <c r="F80" s="394">
        <f>IFERROR(IF(Loan_Not_Paid*Values_Entered,Principal,""), "")</f>
        <v>441404.86572596681</v>
      </c>
      <c r="G80" s="394">
        <f>IFERROR(IF(Loan_Not_Paid*Values_Entered,Interest,""), "")</f>
        <v>1766442.3412777241</v>
      </c>
      <c r="H80" s="394">
        <f>IFERROR(IF(Loan_Not_Paid*Values_Entered,Ending_Balance,""), "")</f>
        <v>325671027.37016183</v>
      </c>
    </row>
    <row r="81" spans="2:8">
      <c r="B81" s="396">
        <f>IFERROR(IF(Loan_Not_Paid*Values_Entered,Payment_Number,""), "")</f>
        <v>64</v>
      </c>
      <c r="C81" s="395"/>
      <c r="D81" s="394">
        <f>IFERROR(IF(Loan_Not_Paid*Values_Entered,Beginning_Balance,""), "")</f>
        <v>325671027.37016183</v>
      </c>
      <c r="E81" s="394">
        <f>IFERROR(IF(Loan_Not_Paid*Values_Entered,Monthly_Payment,""), "")</f>
        <v>2207847.2070036912</v>
      </c>
      <c r="F81" s="394">
        <f>IFERROR(IF(Loan_Not_Paid*Values_Entered,Principal,""), "")</f>
        <v>443795.80874864903</v>
      </c>
      <c r="G81" s="394">
        <f>IFERROR(IF(Loan_Not_Paid*Values_Entered,Interest,""), "")</f>
        <v>1764051.398255042</v>
      </c>
      <c r="H81" s="394">
        <f>IFERROR(IF(Loan_Not_Paid*Values_Entered,Ending_Balance,""), "")</f>
        <v>325227231.56141329</v>
      </c>
    </row>
    <row r="82" spans="2:8">
      <c r="B82" s="396">
        <f>IFERROR(IF(Loan_Not_Paid*Values_Entered,Payment_Number,""), "")</f>
        <v>65</v>
      </c>
      <c r="C82" s="395"/>
      <c r="D82" s="394">
        <f>IFERROR(IF(Loan_Not_Paid*Values_Entered,Beginning_Balance,""), "")</f>
        <v>325227231.56141329</v>
      </c>
      <c r="E82" s="394">
        <f>IFERROR(IF(Loan_Not_Paid*Values_Entered,Monthly_Payment,""), "")</f>
        <v>2207847.2070036912</v>
      </c>
      <c r="F82" s="394">
        <f>IFERROR(IF(Loan_Not_Paid*Values_Entered,Principal,""), "")</f>
        <v>446199.70271270431</v>
      </c>
      <c r="G82" s="394">
        <f>IFERROR(IF(Loan_Not_Paid*Values_Entered,Interest,""), "")</f>
        <v>1761647.5042909868</v>
      </c>
      <c r="H82" s="394">
        <f>IFERROR(IF(Loan_Not_Paid*Values_Entered,Ending_Balance,""), "")</f>
        <v>324781031.85870051</v>
      </c>
    </row>
    <row r="83" spans="2:8">
      <c r="B83" s="396">
        <f>IFERROR(IF(Loan_Not_Paid*Values_Entered,Payment_Number,""), "")</f>
        <v>66</v>
      </c>
      <c r="C83" s="395"/>
      <c r="D83" s="394">
        <f>IFERROR(IF(Loan_Not_Paid*Values_Entered,Beginning_Balance,""), "")</f>
        <v>324781031.85870051</v>
      </c>
      <c r="E83" s="394">
        <f>IFERROR(IF(Loan_Not_Paid*Values_Entered,Monthly_Payment,""), "")</f>
        <v>2207847.2070036912</v>
      </c>
      <c r="F83" s="394">
        <f>IFERROR(IF(Loan_Not_Paid*Values_Entered,Principal,""), "")</f>
        <v>448616.61776906473</v>
      </c>
      <c r="G83" s="394">
        <f>IFERROR(IF(Loan_Not_Paid*Values_Entered,Interest,""), "")</f>
        <v>1759230.5892346266</v>
      </c>
      <c r="H83" s="394">
        <f>IFERROR(IF(Loan_Not_Paid*Values_Entered,Ending_Balance,""), "")</f>
        <v>324332415.24093151</v>
      </c>
    </row>
    <row r="84" spans="2:8">
      <c r="B84" s="396">
        <f>IFERROR(IF(Loan_Not_Paid*Values_Entered,Payment_Number,""), "")</f>
        <v>67</v>
      </c>
      <c r="C84" s="395"/>
      <c r="D84" s="394">
        <f>IFERROR(IF(Loan_Not_Paid*Values_Entered,Beginning_Balance,""), "")</f>
        <v>324332415.24093151</v>
      </c>
      <c r="E84" s="394">
        <f>IFERROR(IF(Loan_Not_Paid*Values_Entered,Monthly_Payment,""), "")</f>
        <v>2207847.2070036912</v>
      </c>
      <c r="F84" s="394">
        <f>IFERROR(IF(Loan_Not_Paid*Values_Entered,Principal,""), "")</f>
        <v>451046.62444864726</v>
      </c>
      <c r="G84" s="394">
        <f>IFERROR(IF(Loan_Not_Paid*Values_Entered,Interest,""), "")</f>
        <v>1756800.5825550442</v>
      </c>
      <c r="H84" s="394">
        <f>IFERROR(IF(Loan_Not_Paid*Values_Entered,Ending_Balance,""), "")</f>
        <v>323881368.61648285</v>
      </c>
    </row>
    <row r="85" spans="2:8">
      <c r="B85" s="396">
        <f>IFERROR(IF(Loan_Not_Paid*Values_Entered,Payment_Number,""), "")</f>
        <v>68</v>
      </c>
      <c r="C85" s="395"/>
      <c r="D85" s="394">
        <f>IFERROR(IF(Loan_Not_Paid*Values_Entered,Beginning_Balance,""), "")</f>
        <v>323881368.61648285</v>
      </c>
      <c r="E85" s="394">
        <f>IFERROR(IF(Loan_Not_Paid*Values_Entered,Monthly_Payment,""), "")</f>
        <v>2207847.2070036912</v>
      </c>
      <c r="F85" s="394">
        <f>IFERROR(IF(Loan_Not_Paid*Values_Entered,Principal,""), "")</f>
        <v>453489.79366441071</v>
      </c>
      <c r="G85" s="394">
        <f>IFERROR(IF(Loan_Not_Paid*Values_Entered,Interest,""), "")</f>
        <v>1754357.4133392805</v>
      </c>
      <c r="H85" s="394">
        <f>IFERROR(IF(Loan_Not_Paid*Values_Entered,Ending_Balance,""), "")</f>
        <v>323427878.8228184</v>
      </c>
    </row>
    <row r="86" spans="2:8">
      <c r="B86" s="396">
        <f>IFERROR(IF(Loan_Not_Paid*Values_Entered,Payment_Number,""), "")</f>
        <v>69</v>
      </c>
      <c r="C86" s="395"/>
      <c r="D86" s="394">
        <f>IFERROR(IF(Loan_Not_Paid*Values_Entered,Beginning_Balance,""), "")</f>
        <v>323427878.8228184</v>
      </c>
      <c r="E86" s="394">
        <f>IFERROR(IF(Loan_Not_Paid*Values_Entered,Monthly_Payment,""), "")</f>
        <v>2207847.2070036912</v>
      </c>
      <c r="F86" s="394">
        <f>IFERROR(IF(Loan_Not_Paid*Values_Entered,Principal,""), "")</f>
        <v>455946.19671342621</v>
      </c>
      <c r="G86" s="394">
        <f>IFERROR(IF(Loan_Not_Paid*Values_Entered,Interest,""), "")</f>
        <v>1751901.0102902649</v>
      </c>
      <c r="H86" s="394">
        <f>IFERROR(IF(Loan_Not_Paid*Values_Entered,Ending_Balance,""), "")</f>
        <v>322971932.62610501</v>
      </c>
    </row>
    <row r="87" spans="2:8">
      <c r="B87" s="396">
        <f>IFERROR(IF(Loan_Not_Paid*Values_Entered,Payment_Number,""), "")</f>
        <v>70</v>
      </c>
      <c r="C87" s="395"/>
      <c r="D87" s="394">
        <f>IFERROR(IF(Loan_Not_Paid*Values_Entered,Beginning_Balance,""), "")</f>
        <v>322971932.62610501</v>
      </c>
      <c r="E87" s="394">
        <f>IFERROR(IF(Loan_Not_Paid*Values_Entered,Monthly_Payment,""), "")</f>
        <v>2207847.2070036912</v>
      </c>
      <c r="F87" s="394">
        <f>IFERROR(IF(Loan_Not_Paid*Values_Entered,Principal,""), "")</f>
        <v>458415.90527895727</v>
      </c>
      <c r="G87" s="394">
        <f>IFERROR(IF(Loan_Not_Paid*Values_Entered,Interest,""), "")</f>
        <v>1749431.301724734</v>
      </c>
      <c r="H87" s="394">
        <f>IFERROR(IF(Loan_Not_Paid*Values_Entered,Ending_Balance,""), "")</f>
        <v>322513516.72082609</v>
      </c>
    </row>
    <row r="88" spans="2:8">
      <c r="B88" s="396">
        <f>IFERROR(IF(Loan_Not_Paid*Values_Entered,Payment_Number,""), "")</f>
        <v>71</v>
      </c>
      <c r="C88" s="395"/>
      <c r="D88" s="394">
        <f>IFERROR(IF(Loan_Not_Paid*Values_Entered,Beginning_Balance,""), "")</f>
        <v>322513516.72082609</v>
      </c>
      <c r="E88" s="394">
        <f>IFERROR(IF(Loan_Not_Paid*Values_Entered,Monthly_Payment,""), "")</f>
        <v>2207847.2070036912</v>
      </c>
      <c r="F88" s="394">
        <f>IFERROR(IF(Loan_Not_Paid*Values_Entered,Principal,""), "")</f>
        <v>460898.9914325517</v>
      </c>
      <c r="G88" s="394">
        <f>IFERROR(IF(Loan_Not_Paid*Values_Entered,Interest,""), "")</f>
        <v>1746948.2155711395</v>
      </c>
      <c r="H88" s="394">
        <f>IFERROR(IF(Loan_Not_Paid*Values_Entered,Ending_Balance,""), "")</f>
        <v>322052617.72939348</v>
      </c>
    </row>
    <row r="89" spans="2:8">
      <c r="B89" s="396">
        <f>IFERROR(IF(Loan_Not_Paid*Values_Entered,Payment_Number,""), "")</f>
        <v>72</v>
      </c>
      <c r="C89" s="395"/>
      <c r="D89" s="394">
        <f>IFERROR(IF(Loan_Not_Paid*Values_Entered,Beginning_Balance,""), "")</f>
        <v>322052617.72939348</v>
      </c>
      <c r="E89" s="394">
        <f>IFERROR(IF(Loan_Not_Paid*Values_Entered,Monthly_Payment,""), "")</f>
        <v>2207847.2070036912</v>
      </c>
      <c r="F89" s="394">
        <f>IFERROR(IF(Loan_Not_Paid*Values_Entered,Principal,""), "")</f>
        <v>463395.52763614466</v>
      </c>
      <c r="G89" s="394">
        <f>IFERROR(IF(Loan_Not_Paid*Values_Entered,Interest,""), "")</f>
        <v>1744451.6793675467</v>
      </c>
      <c r="H89" s="394">
        <f>IFERROR(IF(Loan_Not_Paid*Values_Entered,Ending_Balance,""), "")</f>
        <v>321589222.20175737</v>
      </c>
    </row>
    <row r="90" spans="2:8">
      <c r="B90" s="396">
        <f>IFERROR(IF(Loan_Not_Paid*Values_Entered,Payment_Number,""), "")</f>
        <v>73</v>
      </c>
      <c r="C90" s="395"/>
      <c r="D90" s="394">
        <f>IFERROR(IF(Loan_Not_Paid*Values_Entered,Beginning_Balance,""), "")</f>
        <v>321589222.20175737</v>
      </c>
      <c r="E90" s="394">
        <f>IFERROR(IF(Loan_Not_Paid*Values_Entered,Monthly_Payment,""), "")</f>
        <v>2207847.2070036912</v>
      </c>
      <c r="F90" s="394">
        <f>IFERROR(IF(Loan_Not_Paid*Values_Entered,Principal,""), "")</f>
        <v>465905.58674417384</v>
      </c>
      <c r="G90" s="394">
        <f>IFERROR(IF(Loan_Not_Paid*Values_Entered,Interest,""), "")</f>
        <v>1741941.6202595171</v>
      </c>
      <c r="H90" s="394">
        <f>IFERROR(IF(Loan_Not_Paid*Values_Entered,Ending_Balance,""), "")</f>
        <v>321123316.61501318</v>
      </c>
    </row>
    <row r="91" spans="2:8">
      <c r="B91" s="396">
        <f>IFERROR(IF(Loan_Not_Paid*Values_Entered,Payment_Number,""), "")</f>
        <v>74</v>
      </c>
      <c r="C91" s="395"/>
      <c r="D91" s="394">
        <f>IFERROR(IF(Loan_Not_Paid*Values_Entered,Beginning_Balance,""), "")</f>
        <v>321123316.61501318</v>
      </c>
      <c r="E91" s="394">
        <f>IFERROR(IF(Loan_Not_Paid*Values_Entered,Monthly_Payment,""), "")</f>
        <v>2207847.2070036912</v>
      </c>
      <c r="F91" s="394">
        <f>IFERROR(IF(Loan_Not_Paid*Values_Entered,Principal,""), "")</f>
        <v>468429.24200570473</v>
      </c>
      <c r="G91" s="394">
        <f>IFERROR(IF(Loan_Not_Paid*Values_Entered,Interest,""), "")</f>
        <v>1739417.9649979866</v>
      </c>
      <c r="H91" s="394">
        <f>IFERROR(IF(Loan_Not_Paid*Values_Entered,Ending_Balance,""), "")</f>
        <v>320654887.37300754</v>
      </c>
    </row>
    <row r="92" spans="2:8">
      <c r="B92" s="396">
        <f>IFERROR(IF(Loan_Not_Paid*Values_Entered,Payment_Number,""), "")</f>
        <v>75</v>
      </c>
      <c r="C92" s="395"/>
      <c r="D92" s="394">
        <f>IFERROR(IF(Loan_Not_Paid*Values_Entered,Beginning_Balance,""), "")</f>
        <v>320654887.37300754</v>
      </c>
      <c r="E92" s="394">
        <f>IFERROR(IF(Loan_Not_Paid*Values_Entered,Monthly_Payment,""), "")</f>
        <v>2207847.2070036912</v>
      </c>
      <c r="F92" s="394">
        <f>IFERROR(IF(Loan_Not_Paid*Values_Entered,Principal,""), "")</f>
        <v>470966.56706656894</v>
      </c>
      <c r="G92" s="394">
        <f>IFERROR(IF(Loan_Not_Paid*Values_Entered,Interest,""), "")</f>
        <v>1736880.6399371224</v>
      </c>
      <c r="H92" s="394">
        <f>IFERROR(IF(Loan_Not_Paid*Values_Entered,Ending_Balance,""), "")</f>
        <v>320183920.80594099</v>
      </c>
    </row>
    <row r="93" spans="2:8">
      <c r="B93" s="396">
        <f>IFERROR(IF(Loan_Not_Paid*Values_Entered,Payment_Number,""), "")</f>
        <v>76</v>
      </c>
      <c r="C93" s="395"/>
      <c r="D93" s="394">
        <f>IFERROR(IF(Loan_Not_Paid*Values_Entered,Beginning_Balance,""), "")</f>
        <v>320183920.80594099</v>
      </c>
      <c r="E93" s="394">
        <f>IFERROR(IF(Loan_Not_Paid*Values_Entered,Monthly_Payment,""), "")</f>
        <v>2207847.2070036912</v>
      </c>
      <c r="F93" s="394">
        <f>IFERROR(IF(Loan_Not_Paid*Values_Entered,Principal,""), "")</f>
        <v>473517.63597151294</v>
      </c>
      <c r="G93" s="394">
        <f>IFERROR(IF(Loan_Not_Paid*Values_Entered,Interest,""), "")</f>
        <v>1734329.5710321784</v>
      </c>
      <c r="H93" s="394">
        <f>IFERROR(IF(Loan_Not_Paid*Values_Entered,Ending_Balance,""), "")</f>
        <v>319710403.16996944</v>
      </c>
    </row>
    <row r="94" spans="2:8">
      <c r="B94" s="396">
        <f>IFERROR(IF(Loan_Not_Paid*Values_Entered,Payment_Number,""), "")</f>
        <v>77</v>
      </c>
      <c r="C94" s="395"/>
      <c r="D94" s="394">
        <f>IFERROR(IF(Loan_Not_Paid*Values_Entered,Beginning_Balance,""), "")</f>
        <v>319710403.16996944</v>
      </c>
      <c r="E94" s="394">
        <f>IFERROR(IF(Loan_Not_Paid*Values_Entered,Monthly_Payment,""), "")</f>
        <v>2207847.2070036912</v>
      </c>
      <c r="F94" s="394">
        <f>IFERROR(IF(Loan_Not_Paid*Values_Entered,Principal,""), "")</f>
        <v>476082.52316635865</v>
      </c>
      <c r="G94" s="394">
        <f>IFERROR(IF(Loan_Not_Paid*Values_Entered,Interest,""), "")</f>
        <v>1731764.6838373325</v>
      </c>
      <c r="H94" s="394">
        <f>IFERROR(IF(Loan_Not_Paid*Values_Entered,Ending_Balance,""), "")</f>
        <v>319234320.64680314</v>
      </c>
    </row>
    <row r="95" spans="2:8">
      <c r="B95" s="396">
        <f>IFERROR(IF(Loan_Not_Paid*Values_Entered,Payment_Number,""), "")</f>
        <v>78</v>
      </c>
      <c r="C95" s="395"/>
      <c r="D95" s="394">
        <f>IFERROR(IF(Loan_Not_Paid*Values_Entered,Beginning_Balance,""), "")</f>
        <v>319234320.64680314</v>
      </c>
      <c r="E95" s="394">
        <f>IFERROR(IF(Loan_Not_Paid*Values_Entered,Monthly_Payment,""), "")</f>
        <v>2207847.2070036912</v>
      </c>
      <c r="F95" s="394">
        <f>IFERROR(IF(Loan_Not_Paid*Values_Entered,Principal,""), "")</f>
        <v>478661.30350017641</v>
      </c>
      <c r="G95" s="394">
        <f>IFERROR(IF(Loan_Not_Paid*Values_Entered,Interest,""), "")</f>
        <v>1729185.9035035148</v>
      </c>
      <c r="H95" s="394">
        <f>IFERROR(IF(Loan_Not_Paid*Values_Entered,Ending_Balance,""), "")</f>
        <v>318755659.34330297</v>
      </c>
    </row>
    <row r="96" spans="2:8">
      <c r="B96" s="396">
        <f>IFERROR(IF(Loan_Not_Paid*Values_Entered,Payment_Number,""), "")</f>
        <v>79</v>
      </c>
      <c r="C96" s="395"/>
      <c r="D96" s="394">
        <f>IFERROR(IF(Loan_Not_Paid*Values_Entered,Beginning_Balance,""), "")</f>
        <v>318755659.34330297</v>
      </c>
      <c r="E96" s="394">
        <f>IFERROR(IF(Loan_Not_Paid*Values_Entered,Monthly_Payment,""), "")</f>
        <v>2207847.2070036912</v>
      </c>
      <c r="F96" s="394">
        <f>IFERROR(IF(Loan_Not_Paid*Values_Entered,Principal,""), "")</f>
        <v>481254.05222746893</v>
      </c>
      <c r="G96" s="394">
        <f>IFERROR(IF(Loan_Not_Paid*Values_Entered,Interest,""), "")</f>
        <v>1726593.1547762223</v>
      </c>
      <c r="H96" s="394">
        <f>IFERROR(IF(Loan_Not_Paid*Values_Entered,Ending_Balance,""), "")</f>
        <v>318274405.29107547</v>
      </c>
    </row>
    <row r="97" spans="2:8">
      <c r="B97" s="396">
        <f>IFERROR(IF(Loan_Not_Paid*Values_Entered,Payment_Number,""), "")</f>
        <v>80</v>
      </c>
      <c r="C97" s="395"/>
      <c r="D97" s="394">
        <f>IFERROR(IF(Loan_Not_Paid*Values_Entered,Beginning_Balance,""), "")</f>
        <v>318274405.29107547</v>
      </c>
      <c r="E97" s="394">
        <f>IFERROR(IF(Loan_Not_Paid*Values_Entered,Monthly_Payment,""), "")</f>
        <v>2207847.2070036912</v>
      </c>
      <c r="F97" s="394">
        <f>IFERROR(IF(Loan_Not_Paid*Values_Entered,Principal,""), "")</f>
        <v>483860.84501036775</v>
      </c>
      <c r="G97" s="394">
        <f>IFERROR(IF(Loan_Not_Paid*Values_Entered,Interest,""), "")</f>
        <v>1723986.3619933235</v>
      </c>
      <c r="H97" s="394">
        <f>IFERROR(IF(Loan_Not_Paid*Values_Entered,Ending_Balance,""), "")</f>
        <v>317790544.44606507</v>
      </c>
    </row>
    <row r="98" spans="2:8">
      <c r="B98" s="396">
        <f>IFERROR(IF(Loan_Not_Paid*Values_Entered,Payment_Number,""), "")</f>
        <v>81</v>
      </c>
      <c r="C98" s="395"/>
      <c r="D98" s="394">
        <f>IFERROR(IF(Loan_Not_Paid*Values_Entered,Beginning_Balance,""), "")</f>
        <v>317790544.44606507</v>
      </c>
      <c r="E98" s="394">
        <f>IFERROR(IF(Loan_Not_Paid*Values_Entered,Monthly_Payment,""), "")</f>
        <v>2207847.2070036912</v>
      </c>
      <c r="F98" s="394">
        <f>IFERROR(IF(Loan_Not_Paid*Values_Entered,Principal,""), "")</f>
        <v>486481.75792084058</v>
      </c>
      <c r="G98" s="394">
        <f>IFERROR(IF(Loan_Not_Paid*Values_Entered,Interest,""), "")</f>
        <v>1721365.4490828505</v>
      </c>
      <c r="H98" s="394">
        <f>IFERROR(IF(Loan_Not_Paid*Values_Entered,Ending_Balance,""), "")</f>
        <v>317304062.68814421</v>
      </c>
    </row>
    <row r="99" spans="2:8">
      <c r="B99" s="396">
        <f>IFERROR(IF(Loan_Not_Paid*Values_Entered,Payment_Number,""), "")</f>
        <v>82</v>
      </c>
      <c r="C99" s="395"/>
      <c r="D99" s="394">
        <f>IFERROR(IF(Loan_Not_Paid*Values_Entered,Beginning_Balance,""), "")</f>
        <v>317304062.68814421</v>
      </c>
      <c r="E99" s="394">
        <f>IFERROR(IF(Loan_Not_Paid*Values_Entered,Monthly_Payment,""), "")</f>
        <v>2207847.2070036912</v>
      </c>
      <c r="F99" s="394">
        <f>IFERROR(IF(Loan_Not_Paid*Values_Entered,Principal,""), "")</f>
        <v>489116.86744291184</v>
      </c>
      <c r="G99" s="394">
        <f>IFERROR(IF(Loan_Not_Paid*Values_Entered,Interest,""), "")</f>
        <v>1718730.3395607793</v>
      </c>
      <c r="H99" s="394">
        <f>IFERROR(IF(Loan_Not_Paid*Values_Entered,Ending_Balance,""), "")</f>
        <v>316814945.82070136</v>
      </c>
    </row>
    <row r="100" spans="2:8">
      <c r="B100" s="396">
        <f>IFERROR(IF(Loan_Not_Paid*Values_Entered,Payment_Number,""), "")</f>
        <v>83</v>
      </c>
      <c r="C100" s="395"/>
      <c r="D100" s="394">
        <f>IFERROR(IF(Loan_Not_Paid*Values_Entered,Beginning_Balance,""), "")</f>
        <v>316814945.82070136</v>
      </c>
      <c r="E100" s="394">
        <f>IFERROR(IF(Loan_Not_Paid*Values_Entered,Monthly_Payment,""), "")</f>
        <v>2207847.2070036912</v>
      </c>
      <c r="F100" s="394">
        <f>IFERROR(IF(Loan_Not_Paid*Values_Entered,Principal,""), "")</f>
        <v>491766.2504748943</v>
      </c>
      <c r="G100" s="394">
        <f>IFERROR(IF(Loan_Not_Paid*Values_Entered,Interest,""), "")</f>
        <v>1716080.9565287968</v>
      </c>
      <c r="H100" s="394">
        <f>IFERROR(IF(Loan_Not_Paid*Values_Entered,Ending_Balance,""), "")</f>
        <v>316323179.57022655</v>
      </c>
    </row>
    <row r="101" spans="2:8">
      <c r="B101" s="396">
        <f>IFERROR(IF(Loan_Not_Paid*Values_Entered,Payment_Number,""), "")</f>
        <v>84</v>
      </c>
      <c r="C101" s="395"/>
      <c r="D101" s="394">
        <f>IFERROR(IF(Loan_Not_Paid*Values_Entered,Beginning_Balance,""), "")</f>
        <v>316323179.57022655</v>
      </c>
      <c r="E101" s="394">
        <f>IFERROR(IF(Loan_Not_Paid*Values_Entered,Monthly_Payment,""), "")</f>
        <v>2207847.2070036912</v>
      </c>
      <c r="F101" s="394">
        <f>IFERROR(IF(Loan_Not_Paid*Values_Entered,Principal,""), "")</f>
        <v>494429.9843316332</v>
      </c>
      <c r="G101" s="394">
        <f>IFERROR(IF(Loan_Not_Paid*Values_Entered,Interest,""), "")</f>
        <v>1713417.222672058</v>
      </c>
      <c r="H101" s="394">
        <f>IFERROR(IF(Loan_Not_Paid*Values_Entered,Ending_Balance,""), "")</f>
        <v>315828749.58589494</v>
      </c>
    </row>
    <row r="102" spans="2:8">
      <c r="B102" s="396">
        <f>IFERROR(IF(Loan_Not_Paid*Values_Entered,Payment_Number,""), "")</f>
        <v>85</v>
      </c>
      <c r="C102" s="395"/>
      <c r="D102" s="394">
        <f>IFERROR(IF(Loan_Not_Paid*Values_Entered,Beginning_Balance,""), "")</f>
        <v>315828749.58589494</v>
      </c>
      <c r="E102" s="394">
        <f>IFERROR(IF(Loan_Not_Paid*Values_Entered,Monthly_Payment,""), "")</f>
        <v>2207847.2070036912</v>
      </c>
      <c r="F102" s="394">
        <f>IFERROR(IF(Loan_Not_Paid*Values_Entered,Principal,""), "")</f>
        <v>497108.14674676291</v>
      </c>
      <c r="G102" s="394">
        <f>IFERROR(IF(Loan_Not_Paid*Values_Entered,Interest,""), "")</f>
        <v>1710739.0602569282</v>
      </c>
      <c r="H102" s="394">
        <f>IFERROR(IF(Loan_Not_Paid*Values_Entered,Ending_Balance,""), "")</f>
        <v>315331641.43914813</v>
      </c>
    </row>
    <row r="103" spans="2:8">
      <c r="B103" s="396">
        <f>IFERROR(IF(Loan_Not_Paid*Values_Entered,Payment_Number,""), "")</f>
        <v>86</v>
      </c>
      <c r="C103" s="395"/>
      <c r="D103" s="394">
        <f>IFERROR(IF(Loan_Not_Paid*Values_Entered,Beginning_Balance,""), "")</f>
        <v>315331641.43914813</v>
      </c>
      <c r="E103" s="394">
        <f>IFERROR(IF(Loan_Not_Paid*Values_Entered,Monthly_Payment,""), "")</f>
        <v>2207847.2070036912</v>
      </c>
      <c r="F103" s="394">
        <f>IFERROR(IF(Loan_Not_Paid*Values_Entered,Principal,""), "")</f>
        <v>499800.81587497465</v>
      </c>
      <c r="G103" s="394">
        <f>IFERROR(IF(Loan_Not_Paid*Values_Entered,Interest,""), "")</f>
        <v>1708046.3911287165</v>
      </c>
      <c r="H103" s="394">
        <f>IFERROR(IF(Loan_Not_Paid*Values_Entered,Ending_Balance,""), "")</f>
        <v>314831840.62327313</v>
      </c>
    </row>
    <row r="104" spans="2:8">
      <c r="B104" s="396">
        <f>IFERROR(IF(Loan_Not_Paid*Values_Entered,Payment_Number,""), "")</f>
        <v>87</v>
      </c>
      <c r="C104" s="395"/>
      <c r="D104" s="394">
        <f>IFERROR(IF(Loan_Not_Paid*Values_Entered,Beginning_Balance,""), "")</f>
        <v>314831840.62327313</v>
      </c>
      <c r="E104" s="394">
        <f>IFERROR(IF(Loan_Not_Paid*Values_Entered,Monthly_Payment,""), "")</f>
        <v>2207847.2070036912</v>
      </c>
      <c r="F104" s="394">
        <f>IFERROR(IF(Loan_Not_Paid*Values_Entered,Principal,""), "")</f>
        <v>502508.07029429742</v>
      </c>
      <c r="G104" s="394">
        <f>IFERROR(IF(Loan_Not_Paid*Values_Entered,Interest,""), "")</f>
        <v>1705339.1367093939</v>
      </c>
      <c r="H104" s="394">
        <f>IFERROR(IF(Loan_Not_Paid*Values_Entered,Ending_Balance,""), "")</f>
        <v>314329332.55297887</v>
      </c>
    </row>
    <row r="105" spans="2:8">
      <c r="B105" s="396">
        <f>IFERROR(IF(Loan_Not_Paid*Values_Entered,Payment_Number,""), "")</f>
        <v>88</v>
      </c>
      <c r="C105" s="395"/>
      <c r="D105" s="394">
        <f>IFERROR(IF(Loan_Not_Paid*Values_Entered,Beginning_Balance,""), "")</f>
        <v>314329332.55297887</v>
      </c>
      <c r="E105" s="394">
        <f>IFERROR(IF(Loan_Not_Paid*Values_Entered,Monthly_Payment,""), "")</f>
        <v>2207847.2070036912</v>
      </c>
      <c r="F105" s="394">
        <f>IFERROR(IF(Loan_Not_Paid*Values_Entered,Principal,""), "")</f>
        <v>505229.98900839151</v>
      </c>
      <c r="G105" s="394">
        <f>IFERROR(IF(Loan_Not_Paid*Values_Entered,Interest,""), "")</f>
        <v>1702617.2179952997</v>
      </c>
      <c r="H105" s="394">
        <f>IFERROR(IF(Loan_Not_Paid*Values_Entered,Ending_Balance,""), "")</f>
        <v>313824102.56397045</v>
      </c>
    </row>
    <row r="106" spans="2:8">
      <c r="B106" s="396">
        <f>IFERROR(IF(Loan_Not_Paid*Values_Entered,Payment_Number,""), "")</f>
        <v>89</v>
      </c>
      <c r="C106" s="395"/>
      <c r="D106" s="394">
        <f>IFERROR(IF(Loan_Not_Paid*Values_Entered,Beginning_Balance,""), "")</f>
        <v>313824102.56397045</v>
      </c>
      <c r="E106" s="394">
        <f>IFERROR(IF(Loan_Not_Paid*Values_Entered,Monthly_Payment,""), "")</f>
        <v>2207847.2070036912</v>
      </c>
      <c r="F106" s="394">
        <f>IFERROR(IF(Loan_Not_Paid*Values_Entered,Principal,""), "")</f>
        <v>507966.6514488536</v>
      </c>
      <c r="G106" s="394">
        <f>IFERROR(IF(Loan_Not_Paid*Values_Entered,Interest,""), "")</f>
        <v>1699880.5555548377</v>
      </c>
      <c r="H106" s="394">
        <f>IFERROR(IF(Loan_Not_Paid*Values_Entered,Ending_Balance,""), "")</f>
        <v>313316135.91252154</v>
      </c>
    </row>
    <row r="107" spans="2:8">
      <c r="B107" s="396">
        <f>IFERROR(IF(Loan_Not_Paid*Values_Entered,Payment_Number,""), "")</f>
        <v>90</v>
      </c>
      <c r="C107" s="395"/>
      <c r="D107" s="394">
        <f>IFERROR(IF(Loan_Not_Paid*Values_Entered,Beginning_Balance,""), "")</f>
        <v>313316135.91252154</v>
      </c>
      <c r="E107" s="394">
        <f>IFERROR(IF(Loan_Not_Paid*Values_Entered,Monthly_Payment,""), "")</f>
        <v>2207847.2070036912</v>
      </c>
      <c r="F107" s="394">
        <f>IFERROR(IF(Loan_Not_Paid*Values_Entered,Principal,""), "")</f>
        <v>510718.13747753494</v>
      </c>
      <c r="G107" s="394">
        <f>IFERROR(IF(Loan_Not_Paid*Values_Entered,Interest,""), "")</f>
        <v>1697129.0695261564</v>
      </c>
      <c r="H107" s="394">
        <f>IFERROR(IF(Loan_Not_Paid*Values_Entered,Ending_Balance,""), "")</f>
        <v>312805417.77504408</v>
      </c>
    </row>
    <row r="108" spans="2:8">
      <c r="B108" s="396">
        <f>IFERROR(IF(Loan_Not_Paid*Values_Entered,Payment_Number,""), "")</f>
        <v>91</v>
      </c>
      <c r="C108" s="395"/>
      <c r="D108" s="394">
        <f>IFERROR(IF(Loan_Not_Paid*Values_Entered,Beginning_Balance,""), "")</f>
        <v>312805417.77504408</v>
      </c>
      <c r="E108" s="394">
        <f>IFERROR(IF(Loan_Not_Paid*Values_Entered,Monthly_Payment,""), "")</f>
        <v>2207847.2070036912</v>
      </c>
      <c r="F108" s="394">
        <f>IFERROR(IF(Loan_Not_Paid*Values_Entered,Principal,""), "")</f>
        <v>513484.52738887153</v>
      </c>
      <c r="G108" s="394">
        <f>IFERROR(IF(Loan_Not_Paid*Values_Entered,Interest,""), "")</f>
        <v>1694362.6796148196</v>
      </c>
      <c r="H108" s="394">
        <f>IFERROR(IF(Loan_Not_Paid*Values_Entered,Ending_Balance,""), "")</f>
        <v>312291933.24765521</v>
      </c>
    </row>
    <row r="109" spans="2:8">
      <c r="B109" s="396">
        <f>IFERROR(IF(Loan_Not_Paid*Values_Entered,Payment_Number,""), "")</f>
        <v>92</v>
      </c>
      <c r="C109" s="395"/>
      <c r="D109" s="394">
        <f>IFERROR(IF(Loan_Not_Paid*Values_Entered,Beginning_Balance,""), "")</f>
        <v>312291933.24765521</v>
      </c>
      <c r="E109" s="394">
        <f>IFERROR(IF(Loan_Not_Paid*Values_Entered,Monthly_Payment,""), "")</f>
        <v>2207847.2070036912</v>
      </c>
      <c r="F109" s="394">
        <f>IFERROR(IF(Loan_Not_Paid*Values_Entered,Principal,""), "")</f>
        <v>516265.90191222803</v>
      </c>
      <c r="G109" s="394">
        <f>IFERROR(IF(Loan_Not_Paid*Values_Entered,Interest,""), "")</f>
        <v>1691581.3050914633</v>
      </c>
      <c r="H109" s="394">
        <f>IFERROR(IF(Loan_Not_Paid*Values_Entered,Ending_Balance,""), "")</f>
        <v>311775667.34574306</v>
      </c>
    </row>
    <row r="110" spans="2:8">
      <c r="B110" s="396">
        <f>IFERROR(IF(Loan_Not_Paid*Values_Entered,Payment_Number,""), "")</f>
        <v>93</v>
      </c>
      <c r="C110" s="395"/>
      <c r="D110" s="394">
        <f>IFERROR(IF(Loan_Not_Paid*Values_Entered,Beginning_Balance,""), "")</f>
        <v>311775667.34574306</v>
      </c>
      <c r="E110" s="394">
        <f>IFERROR(IF(Loan_Not_Paid*Values_Entered,Monthly_Payment,""), "")</f>
        <v>2207847.2070036912</v>
      </c>
      <c r="F110" s="394">
        <f>IFERROR(IF(Loan_Not_Paid*Values_Entered,Principal,""), "")</f>
        <v>519062.34221425251</v>
      </c>
      <c r="G110" s="394">
        <f>IFERROR(IF(Loan_Not_Paid*Values_Entered,Interest,""), "")</f>
        <v>1688784.8647894387</v>
      </c>
      <c r="H110" s="394">
        <f>IFERROR(IF(Loan_Not_Paid*Values_Entered,Ending_Balance,""), "")</f>
        <v>311256605.00352883</v>
      </c>
    </row>
    <row r="111" spans="2:8">
      <c r="B111" s="396">
        <f>IFERROR(IF(Loan_Not_Paid*Values_Entered,Payment_Number,""), "")</f>
        <v>94</v>
      </c>
      <c r="C111" s="395"/>
      <c r="D111" s="394">
        <f>IFERROR(IF(Loan_Not_Paid*Values_Entered,Beginning_Balance,""), "")</f>
        <v>311256605.00352883</v>
      </c>
      <c r="E111" s="394">
        <f>IFERROR(IF(Loan_Not_Paid*Values_Entered,Monthly_Payment,""), "")</f>
        <v>2207847.2070036912</v>
      </c>
      <c r="F111" s="394">
        <f>IFERROR(IF(Loan_Not_Paid*Values_Entered,Principal,""), "")</f>
        <v>521873.92990124639</v>
      </c>
      <c r="G111" s="394">
        <f>IFERROR(IF(Loan_Not_Paid*Values_Entered,Interest,""), "")</f>
        <v>1685973.277102445</v>
      </c>
      <c r="H111" s="394">
        <f>IFERROR(IF(Loan_Not_Paid*Values_Entered,Ending_Balance,""), "")</f>
        <v>310734731.07362747</v>
      </c>
    </row>
    <row r="112" spans="2:8">
      <c r="B112" s="396">
        <f>IFERROR(IF(Loan_Not_Paid*Values_Entered,Payment_Number,""), "")</f>
        <v>95</v>
      </c>
      <c r="C112" s="395"/>
      <c r="D112" s="394">
        <f>IFERROR(IF(Loan_Not_Paid*Values_Entered,Beginning_Balance,""), "")</f>
        <v>310734731.07362747</v>
      </c>
      <c r="E112" s="394">
        <f>IFERROR(IF(Loan_Not_Paid*Values_Entered,Monthly_Payment,""), "")</f>
        <v>2207847.2070036912</v>
      </c>
      <c r="F112" s="394">
        <f>IFERROR(IF(Loan_Not_Paid*Values_Entered,Principal,""), "")</f>
        <v>524700.74702154472</v>
      </c>
      <c r="G112" s="394">
        <f>IFERROR(IF(Loan_Not_Paid*Values_Entered,Interest,""), "")</f>
        <v>1683146.4599821463</v>
      </c>
      <c r="H112" s="394">
        <f>IFERROR(IF(Loan_Not_Paid*Values_Entered,Ending_Balance,""), "")</f>
        <v>310210030.32660598</v>
      </c>
    </row>
    <row r="113" spans="2:8">
      <c r="B113" s="396">
        <f>IFERROR(IF(Loan_Not_Paid*Values_Entered,Payment_Number,""), "")</f>
        <v>96</v>
      </c>
      <c r="C113" s="395"/>
      <c r="D113" s="394">
        <f>IFERROR(IF(Loan_Not_Paid*Values_Entered,Beginning_Balance,""), "")</f>
        <v>310210030.32660598</v>
      </c>
      <c r="E113" s="394">
        <f>IFERROR(IF(Loan_Not_Paid*Values_Entered,Monthly_Payment,""), "")</f>
        <v>2207847.2070036912</v>
      </c>
      <c r="F113" s="394">
        <f>IFERROR(IF(Loan_Not_Paid*Values_Entered,Principal,""), "")</f>
        <v>527542.87606791151</v>
      </c>
      <c r="G113" s="394">
        <f>IFERROR(IF(Loan_Not_Paid*Values_Entered,Interest,""), "")</f>
        <v>1680304.33093578</v>
      </c>
      <c r="H113" s="394">
        <f>IFERROR(IF(Loan_Not_Paid*Values_Entered,Ending_Balance,""), "")</f>
        <v>309682487.45053804</v>
      </c>
    </row>
    <row r="114" spans="2:8">
      <c r="B114" s="396">
        <f>IFERROR(IF(Loan_Not_Paid*Values_Entered,Payment_Number,""), "")</f>
        <v>97</v>
      </c>
      <c r="C114" s="395"/>
      <c r="D114" s="394">
        <f>IFERROR(IF(Loan_Not_Paid*Values_Entered,Beginning_Balance,""), "")</f>
        <v>309682487.45053804</v>
      </c>
      <c r="E114" s="394">
        <f>IFERROR(IF(Loan_Not_Paid*Values_Entered,Monthly_Payment,""), "")</f>
        <v>2207847.2070036912</v>
      </c>
      <c r="F114" s="394">
        <f>IFERROR(IF(Loan_Not_Paid*Values_Entered,Principal,""), "")</f>
        <v>530400.39997994609</v>
      </c>
      <c r="G114" s="394">
        <f>IFERROR(IF(Loan_Not_Paid*Values_Entered,Interest,""), "")</f>
        <v>1677446.8070237453</v>
      </c>
      <c r="H114" s="394">
        <f>IFERROR(IF(Loan_Not_Paid*Values_Entered,Ending_Balance,""), "")</f>
        <v>309152087.05055821</v>
      </c>
    </row>
    <row r="115" spans="2:8">
      <c r="B115" s="396">
        <f>IFERROR(IF(Loan_Not_Paid*Values_Entered,Payment_Number,""), "")</f>
        <v>98</v>
      </c>
      <c r="C115" s="395"/>
      <c r="D115" s="394">
        <f>IFERROR(IF(Loan_Not_Paid*Values_Entered,Beginning_Balance,""), "")</f>
        <v>309152087.05055821</v>
      </c>
      <c r="E115" s="394">
        <f>IFERROR(IF(Loan_Not_Paid*Values_Entered,Monthly_Payment,""), "")</f>
        <v>2207847.2070036912</v>
      </c>
      <c r="F115" s="394">
        <f>IFERROR(IF(Loan_Not_Paid*Values_Entered,Principal,""), "")</f>
        <v>533273.40214650403</v>
      </c>
      <c r="G115" s="394">
        <f>IFERROR(IF(Loan_Not_Paid*Values_Entered,Interest,""), "")</f>
        <v>1674573.8048571872</v>
      </c>
      <c r="H115" s="394">
        <f>IFERROR(IF(Loan_Not_Paid*Values_Entered,Ending_Balance,""), "")</f>
        <v>308618813.64841157</v>
      </c>
    </row>
    <row r="116" spans="2:8">
      <c r="B116" s="396">
        <f>IFERROR(IF(Loan_Not_Paid*Values_Entered,Payment_Number,""), "")</f>
        <v>99</v>
      </c>
      <c r="C116" s="395"/>
      <c r="D116" s="394">
        <f>IFERROR(IF(Loan_Not_Paid*Values_Entered,Beginning_Balance,""), "")</f>
        <v>308618813.64841157</v>
      </c>
      <c r="E116" s="394">
        <f>IFERROR(IF(Loan_Not_Paid*Values_Entered,Monthly_Payment,""), "")</f>
        <v>2207847.2070036912</v>
      </c>
      <c r="F116" s="394">
        <f>IFERROR(IF(Loan_Not_Paid*Values_Entered,Principal,""), "")</f>
        <v>536161.96640813095</v>
      </c>
      <c r="G116" s="394">
        <f>IFERROR(IF(Loan_Not_Paid*Values_Entered,Interest,""), "")</f>
        <v>1671685.2405955601</v>
      </c>
      <c r="H116" s="394">
        <f>IFERROR(IF(Loan_Not_Paid*Values_Entered,Ending_Balance,""), "")</f>
        <v>308082651.68200356</v>
      </c>
    </row>
    <row r="117" spans="2:8">
      <c r="B117" s="396">
        <f>IFERROR(IF(Loan_Not_Paid*Values_Entered,Payment_Number,""), "")</f>
        <v>100</v>
      </c>
      <c r="C117" s="395"/>
      <c r="D117" s="394">
        <f>IFERROR(IF(Loan_Not_Paid*Values_Entered,Beginning_Balance,""), "")</f>
        <v>308082651.68200356</v>
      </c>
      <c r="E117" s="394">
        <f>IFERROR(IF(Loan_Not_Paid*Values_Entered,Monthly_Payment,""), "")</f>
        <v>2207847.2070036912</v>
      </c>
      <c r="F117" s="394">
        <f>IFERROR(IF(Loan_Not_Paid*Values_Entered,Principal,""), "")</f>
        <v>539066.17705950828</v>
      </c>
      <c r="G117" s="394">
        <f>IFERROR(IF(Loan_Not_Paid*Values_Entered,Interest,""), "")</f>
        <v>1668781.0299441828</v>
      </c>
      <c r="H117" s="394">
        <f>IFERROR(IF(Loan_Not_Paid*Values_Entered,Ending_Balance,""), "")</f>
        <v>307543585.50494397</v>
      </c>
    </row>
    <row r="118" spans="2:8">
      <c r="B118" s="396">
        <f>IFERROR(IF(Loan_Not_Paid*Values_Entered,Payment_Number,""), "")</f>
        <v>101</v>
      </c>
      <c r="C118" s="395"/>
      <c r="D118" s="394">
        <f>IFERROR(IF(Loan_Not_Paid*Values_Entered,Beginning_Balance,""), "")</f>
        <v>307543585.50494397</v>
      </c>
      <c r="E118" s="394">
        <f>IFERROR(IF(Loan_Not_Paid*Values_Entered,Monthly_Payment,""), "")</f>
        <v>2207847.2070036912</v>
      </c>
      <c r="F118" s="394">
        <f>IFERROR(IF(Loan_Not_Paid*Values_Entered,Principal,""), "")</f>
        <v>541986.11885191395</v>
      </c>
      <c r="G118" s="394">
        <f>IFERROR(IF(Loan_Not_Paid*Values_Entered,Interest,""), "")</f>
        <v>1665861.0881517774</v>
      </c>
      <c r="H118" s="394">
        <f>IFERROR(IF(Loan_Not_Paid*Values_Entered,Ending_Balance,""), "")</f>
        <v>307001599.38609213</v>
      </c>
    </row>
    <row r="119" spans="2:8">
      <c r="B119" s="396">
        <f>IFERROR(IF(Loan_Not_Paid*Values_Entered,Payment_Number,""), "")</f>
        <v>102</v>
      </c>
      <c r="C119" s="395"/>
      <c r="D119" s="394">
        <f>IFERROR(IF(Loan_Not_Paid*Values_Entered,Beginning_Balance,""), "")</f>
        <v>307001599.38609213</v>
      </c>
      <c r="E119" s="394">
        <f>IFERROR(IF(Loan_Not_Paid*Values_Entered,Monthly_Payment,""), "")</f>
        <v>2207847.2070036912</v>
      </c>
      <c r="F119" s="394">
        <f>IFERROR(IF(Loan_Not_Paid*Values_Entered,Principal,""), "")</f>
        <v>544921.87699569529</v>
      </c>
      <c r="G119" s="394">
        <f>IFERROR(IF(Loan_Not_Paid*Values_Entered,Interest,""), "")</f>
        <v>1662925.3300079959</v>
      </c>
      <c r="H119" s="394">
        <f>IFERROR(IF(Loan_Not_Paid*Values_Entered,Ending_Balance,""), "")</f>
        <v>306456677.50909638</v>
      </c>
    </row>
    <row r="120" spans="2:8">
      <c r="B120" s="396">
        <f>IFERROR(IF(Loan_Not_Paid*Values_Entered,Payment_Number,""), "")</f>
        <v>103</v>
      </c>
      <c r="C120" s="395"/>
      <c r="D120" s="394">
        <f>IFERROR(IF(Loan_Not_Paid*Values_Entered,Beginning_Balance,""), "")</f>
        <v>306456677.50909638</v>
      </c>
      <c r="E120" s="394">
        <f>IFERROR(IF(Loan_Not_Paid*Values_Entered,Monthly_Payment,""), "")</f>
        <v>2207847.2070036912</v>
      </c>
      <c r="F120" s="394">
        <f>IFERROR(IF(Loan_Not_Paid*Values_Entered,Principal,""), "")</f>
        <v>547873.53716275515</v>
      </c>
      <c r="G120" s="394">
        <f>IFERROR(IF(Loan_Not_Paid*Values_Entered,Interest,""), "")</f>
        <v>1659973.6698409363</v>
      </c>
      <c r="H120" s="394">
        <f>IFERROR(IF(Loan_Not_Paid*Values_Entered,Ending_Balance,""), "")</f>
        <v>305908803.97193366</v>
      </c>
    </row>
    <row r="121" spans="2:8">
      <c r="B121" s="396">
        <f>IFERROR(IF(Loan_Not_Paid*Values_Entered,Payment_Number,""), "")</f>
        <v>104</v>
      </c>
      <c r="C121" s="395"/>
      <c r="D121" s="394">
        <f>IFERROR(IF(Loan_Not_Paid*Values_Entered,Beginning_Balance,""), "")</f>
        <v>305908803.97193366</v>
      </c>
      <c r="E121" s="394">
        <f>IFERROR(IF(Loan_Not_Paid*Values_Entered,Monthly_Payment,""), "")</f>
        <v>2207847.2070036912</v>
      </c>
      <c r="F121" s="394">
        <f>IFERROR(IF(Loan_Not_Paid*Values_Entered,Principal,""), "")</f>
        <v>550841.18548905349</v>
      </c>
      <c r="G121" s="394">
        <f>IFERROR(IF(Loan_Not_Paid*Values_Entered,Interest,""), "")</f>
        <v>1657006.0215146379</v>
      </c>
      <c r="H121" s="394">
        <f>IFERROR(IF(Loan_Not_Paid*Values_Entered,Ending_Balance,""), "")</f>
        <v>305357962.78644472</v>
      </c>
    </row>
    <row r="122" spans="2:8">
      <c r="B122" s="396">
        <f>IFERROR(IF(Loan_Not_Paid*Values_Entered,Payment_Number,""), "")</f>
        <v>105</v>
      </c>
      <c r="C122" s="395"/>
      <c r="D122" s="394">
        <f>IFERROR(IF(Loan_Not_Paid*Values_Entered,Beginning_Balance,""), "")</f>
        <v>305357962.78644472</v>
      </c>
      <c r="E122" s="394">
        <f>IFERROR(IF(Loan_Not_Paid*Values_Entered,Monthly_Payment,""), "")</f>
        <v>2207847.2070036912</v>
      </c>
      <c r="F122" s="394">
        <f>IFERROR(IF(Loan_Not_Paid*Values_Entered,Principal,""), "")</f>
        <v>553824.90857711923</v>
      </c>
      <c r="G122" s="394">
        <f>IFERROR(IF(Loan_Not_Paid*Values_Entered,Interest,""), "")</f>
        <v>1654022.2984265718</v>
      </c>
      <c r="H122" s="394">
        <f>IFERROR(IF(Loan_Not_Paid*Values_Entered,Ending_Balance,""), "")</f>
        <v>304804137.87786758</v>
      </c>
    </row>
    <row r="123" spans="2:8">
      <c r="B123" s="396">
        <f>IFERROR(IF(Loan_Not_Paid*Values_Entered,Payment_Number,""), "")</f>
        <v>106</v>
      </c>
      <c r="C123" s="395"/>
      <c r="D123" s="394">
        <f>IFERROR(IF(Loan_Not_Paid*Values_Entered,Beginning_Balance,""), "")</f>
        <v>304804137.87786758</v>
      </c>
      <c r="E123" s="394">
        <f>IFERROR(IF(Loan_Not_Paid*Values_Entered,Monthly_Payment,""), "")</f>
        <v>2207847.2070036912</v>
      </c>
      <c r="F123" s="394">
        <f>IFERROR(IF(Loan_Not_Paid*Values_Entered,Principal,""), "")</f>
        <v>556824.7934985786</v>
      </c>
      <c r="G123" s="394">
        <f>IFERROR(IF(Loan_Not_Paid*Values_Entered,Interest,""), "")</f>
        <v>1651022.413505113</v>
      </c>
      <c r="H123" s="394">
        <f>IFERROR(IF(Loan_Not_Paid*Values_Entered,Ending_Balance,""), "")</f>
        <v>304247313.08436894</v>
      </c>
    </row>
    <row r="124" spans="2:8">
      <c r="B124" s="396">
        <f>IFERROR(IF(Loan_Not_Paid*Values_Entered,Payment_Number,""), "")</f>
        <v>107</v>
      </c>
      <c r="C124" s="395"/>
      <c r="D124" s="394">
        <f>IFERROR(IF(Loan_Not_Paid*Values_Entered,Beginning_Balance,""), "")</f>
        <v>304247313.08436894</v>
      </c>
      <c r="E124" s="394">
        <f>IFERROR(IF(Loan_Not_Paid*Values_Entered,Monthly_Payment,""), "")</f>
        <v>2207847.2070036912</v>
      </c>
      <c r="F124" s="394">
        <f>IFERROR(IF(Loan_Not_Paid*Values_Entered,Principal,""), "")</f>
        <v>559840.92779669596</v>
      </c>
      <c r="G124" s="394">
        <f>IFERROR(IF(Loan_Not_Paid*Values_Entered,Interest,""), "")</f>
        <v>1648006.2792069954</v>
      </c>
      <c r="H124" s="394">
        <f>IFERROR(IF(Loan_Not_Paid*Values_Entered,Ending_Balance,""), "")</f>
        <v>303687472.15657228</v>
      </c>
    </row>
    <row r="125" spans="2:8">
      <c r="B125" s="396">
        <f>IFERROR(IF(Loan_Not_Paid*Values_Entered,Payment_Number,""), "")</f>
        <v>108</v>
      </c>
      <c r="C125" s="395"/>
      <c r="D125" s="394">
        <f>IFERROR(IF(Loan_Not_Paid*Values_Entered,Beginning_Balance,""), "")</f>
        <v>303687472.15657228</v>
      </c>
      <c r="E125" s="394">
        <f>IFERROR(IF(Loan_Not_Paid*Values_Entered,Monthly_Payment,""), "")</f>
        <v>2207847.2070036912</v>
      </c>
      <c r="F125" s="394">
        <f>IFERROR(IF(Loan_Not_Paid*Values_Entered,Principal,""), "")</f>
        <v>562873.39948892791</v>
      </c>
      <c r="G125" s="394">
        <f>IFERROR(IF(Loan_Not_Paid*Values_Entered,Interest,""), "")</f>
        <v>1644973.807514763</v>
      </c>
      <c r="H125" s="394">
        <f>IFERROR(IF(Loan_Not_Paid*Values_Entered,Ending_Balance,""), "")</f>
        <v>303124598.75708336</v>
      </c>
    </row>
    <row r="126" spans="2:8">
      <c r="B126" s="396">
        <f>IFERROR(IF(Loan_Not_Paid*Values_Entered,Payment_Number,""), "")</f>
        <v>109</v>
      </c>
      <c r="C126" s="395"/>
      <c r="D126" s="394">
        <f>IFERROR(IF(Loan_Not_Paid*Values_Entered,Beginning_Balance,""), "")</f>
        <v>303124598.75708336</v>
      </c>
      <c r="E126" s="394">
        <f>IFERROR(IF(Loan_Not_Paid*Values_Entered,Monthly_Payment,""), "")</f>
        <v>2207847.2070036912</v>
      </c>
      <c r="F126" s="394">
        <f>IFERROR(IF(Loan_Not_Paid*Values_Entered,Principal,""), "")</f>
        <v>565922.2970694931</v>
      </c>
      <c r="G126" s="394">
        <f>IFERROR(IF(Loan_Not_Paid*Values_Entered,Interest,""), "")</f>
        <v>1641924.9099341983</v>
      </c>
      <c r="H126" s="394">
        <f>IFERROR(IF(Loan_Not_Paid*Values_Entered,Ending_Balance,""), "")</f>
        <v>302558676.46001393</v>
      </c>
    </row>
    <row r="127" spans="2:8">
      <c r="B127" s="396">
        <f>IFERROR(IF(Loan_Not_Paid*Values_Entered,Payment_Number,""), "")</f>
        <v>110</v>
      </c>
      <c r="C127" s="395"/>
      <c r="D127" s="394">
        <f>IFERROR(IF(Loan_Not_Paid*Values_Entered,Beginning_Balance,""), "")</f>
        <v>302558676.46001393</v>
      </c>
      <c r="E127" s="394">
        <f>IFERROR(IF(Loan_Not_Paid*Values_Entered,Monthly_Payment,""), "")</f>
        <v>2207847.2070036912</v>
      </c>
      <c r="F127" s="394">
        <f>IFERROR(IF(Loan_Not_Paid*Values_Entered,Principal,""), "")</f>
        <v>568987.70951195282</v>
      </c>
      <c r="G127" s="394">
        <f>IFERROR(IF(Loan_Not_Paid*Values_Entered,Interest,""), "")</f>
        <v>1638859.4974917383</v>
      </c>
      <c r="H127" s="394">
        <f>IFERROR(IF(Loan_Not_Paid*Values_Entered,Ending_Balance,""), "")</f>
        <v>301989688.75050193</v>
      </c>
    </row>
    <row r="128" spans="2:8">
      <c r="B128" s="396">
        <f>IFERROR(IF(Loan_Not_Paid*Values_Entered,Payment_Number,""), "")</f>
        <v>111</v>
      </c>
      <c r="C128" s="395"/>
      <c r="D128" s="394">
        <f>IFERROR(IF(Loan_Not_Paid*Values_Entered,Beginning_Balance,""), "")</f>
        <v>301989688.75050193</v>
      </c>
      <c r="E128" s="394">
        <f>IFERROR(IF(Loan_Not_Paid*Values_Entered,Monthly_Payment,""), "")</f>
        <v>2207847.2070036912</v>
      </c>
      <c r="F128" s="394">
        <f>IFERROR(IF(Loan_Not_Paid*Values_Entered,Principal,""), "")</f>
        <v>572069.72627180931</v>
      </c>
      <c r="G128" s="394">
        <f>IFERROR(IF(Loan_Not_Paid*Values_Entered,Interest,""), "")</f>
        <v>1635777.4807318819</v>
      </c>
      <c r="H128" s="394">
        <f>IFERROR(IF(Loan_Not_Paid*Values_Entered,Ending_Balance,""), "")</f>
        <v>301417619.02423012</v>
      </c>
    </row>
    <row r="129" spans="2:8">
      <c r="B129" s="396">
        <f>IFERROR(IF(Loan_Not_Paid*Values_Entered,Payment_Number,""), "")</f>
        <v>112</v>
      </c>
      <c r="C129" s="395"/>
      <c r="D129" s="394">
        <f>IFERROR(IF(Loan_Not_Paid*Values_Entered,Beginning_Balance,""), "")</f>
        <v>301417619.02423012</v>
      </c>
      <c r="E129" s="394">
        <f>IFERROR(IF(Loan_Not_Paid*Values_Entered,Monthly_Payment,""), "")</f>
        <v>2207847.2070036912</v>
      </c>
      <c r="F129" s="394">
        <f>IFERROR(IF(Loan_Not_Paid*Values_Entered,Principal,""), "")</f>
        <v>575168.43728911493</v>
      </c>
      <c r="G129" s="394">
        <f>IFERROR(IF(Loan_Not_Paid*Values_Entered,Interest,""), "")</f>
        <v>1632678.7697145764</v>
      </c>
      <c r="H129" s="394">
        <f>IFERROR(IF(Loan_Not_Paid*Values_Entered,Ending_Balance,""), "")</f>
        <v>300842450.586941</v>
      </c>
    </row>
    <row r="130" spans="2:8">
      <c r="B130" s="396">
        <f>IFERROR(IF(Loan_Not_Paid*Values_Entered,Payment_Number,""), "")</f>
        <v>113</v>
      </c>
      <c r="C130" s="395"/>
      <c r="D130" s="394">
        <f>IFERROR(IF(Loan_Not_Paid*Values_Entered,Beginning_Balance,""), "")</f>
        <v>300842450.586941</v>
      </c>
      <c r="E130" s="394">
        <f>IFERROR(IF(Loan_Not_Paid*Values_Entered,Monthly_Payment,""), "")</f>
        <v>2207847.2070036912</v>
      </c>
      <c r="F130" s="394">
        <f>IFERROR(IF(Loan_Not_Paid*Values_Entered,Principal,""), "")</f>
        <v>578283.93299109745</v>
      </c>
      <c r="G130" s="394">
        <f>IFERROR(IF(Loan_Not_Paid*Values_Entered,Interest,""), "")</f>
        <v>1629563.2740125936</v>
      </c>
      <c r="H130" s="394">
        <f>IFERROR(IF(Loan_Not_Paid*Values_Entered,Ending_Balance,""), "")</f>
        <v>300264166.65395004</v>
      </c>
    </row>
    <row r="131" spans="2:8">
      <c r="B131" s="396">
        <f>IFERROR(IF(Loan_Not_Paid*Values_Entered,Payment_Number,""), "")</f>
        <v>114</v>
      </c>
      <c r="C131" s="395"/>
      <c r="D131" s="394">
        <f>IFERROR(IF(Loan_Not_Paid*Values_Entered,Beginning_Balance,""), "")</f>
        <v>300264166.65395004</v>
      </c>
      <c r="E131" s="394">
        <f>IFERROR(IF(Loan_Not_Paid*Values_Entered,Monthly_Payment,""), "")</f>
        <v>2207847.2070036912</v>
      </c>
      <c r="F131" s="394">
        <f>IFERROR(IF(Loan_Not_Paid*Values_Entered,Principal,""), "")</f>
        <v>581416.30429479922</v>
      </c>
      <c r="G131" s="394">
        <f>IFERROR(IF(Loan_Not_Paid*Values_Entered,Interest,""), "")</f>
        <v>1626430.9027088922</v>
      </c>
      <c r="H131" s="394">
        <f>IFERROR(IF(Loan_Not_Paid*Values_Entered,Ending_Balance,""), "")</f>
        <v>299682750.34965521</v>
      </c>
    </row>
    <row r="132" spans="2:8">
      <c r="B132" s="396">
        <f>IFERROR(IF(Loan_Not_Paid*Values_Entered,Payment_Number,""), "")</f>
        <v>115</v>
      </c>
      <c r="C132" s="395"/>
      <c r="D132" s="394">
        <f>IFERROR(IF(Loan_Not_Paid*Values_Entered,Beginning_Balance,""), "")</f>
        <v>299682750.34965521</v>
      </c>
      <c r="E132" s="394">
        <f>IFERROR(IF(Loan_Not_Paid*Values_Entered,Monthly_Payment,""), "")</f>
        <v>2207847.2070036912</v>
      </c>
      <c r="F132" s="394">
        <f>IFERROR(IF(Loan_Not_Paid*Values_Entered,Principal,""), "")</f>
        <v>584565.64260972943</v>
      </c>
      <c r="G132" s="394">
        <f>IFERROR(IF(Loan_Not_Paid*Values_Entered,Interest,""), "")</f>
        <v>1623281.5643939616</v>
      </c>
      <c r="H132" s="394">
        <f>IFERROR(IF(Loan_Not_Paid*Values_Entered,Ending_Balance,""), "")</f>
        <v>299098184.70704544</v>
      </c>
    </row>
    <row r="133" spans="2:8">
      <c r="B133" s="396">
        <f>IFERROR(IF(Loan_Not_Paid*Values_Entered,Payment_Number,""), "")</f>
        <v>116</v>
      </c>
      <c r="C133" s="395"/>
      <c r="D133" s="394">
        <f>IFERROR(IF(Loan_Not_Paid*Values_Entered,Beginning_Balance,""), "")</f>
        <v>299098184.70704544</v>
      </c>
      <c r="E133" s="394">
        <f>IFERROR(IF(Loan_Not_Paid*Values_Entered,Monthly_Payment,""), "")</f>
        <v>2207847.2070036912</v>
      </c>
      <c r="F133" s="394">
        <f>IFERROR(IF(Loan_Not_Paid*Values_Entered,Principal,""), "")</f>
        <v>587732.03984053223</v>
      </c>
      <c r="G133" s="394">
        <f>IFERROR(IF(Loan_Not_Paid*Values_Entered,Interest,""), "")</f>
        <v>1620115.1671631592</v>
      </c>
      <c r="H133" s="394">
        <f>IFERROR(IF(Loan_Not_Paid*Values_Entered,Ending_Balance,""), "")</f>
        <v>298510452.66720498</v>
      </c>
    </row>
    <row r="134" spans="2:8">
      <c r="B134" s="396">
        <f>IFERROR(IF(Loan_Not_Paid*Values_Entered,Payment_Number,""), "")</f>
        <v>117</v>
      </c>
      <c r="C134" s="395"/>
      <c r="D134" s="394">
        <f>IFERROR(IF(Loan_Not_Paid*Values_Entered,Beginning_Balance,""), "")</f>
        <v>298510452.66720498</v>
      </c>
      <c r="E134" s="394">
        <f>IFERROR(IF(Loan_Not_Paid*Values_Entered,Monthly_Payment,""), "")</f>
        <v>2207847.2070036912</v>
      </c>
      <c r="F134" s="394">
        <f>IFERROR(IF(Loan_Not_Paid*Values_Entered,Principal,""), "")</f>
        <v>590915.58838966838</v>
      </c>
      <c r="G134" s="394">
        <f>IFERROR(IF(Loan_Not_Paid*Values_Entered,Interest,""), "")</f>
        <v>1616931.6186140229</v>
      </c>
      <c r="H134" s="394">
        <f>IFERROR(IF(Loan_Not_Paid*Values_Entered,Ending_Balance,""), "")</f>
        <v>297919537.07881522</v>
      </c>
    </row>
    <row r="135" spans="2:8">
      <c r="B135" s="396">
        <f>IFERROR(IF(Loan_Not_Paid*Values_Entered,Payment_Number,""), "")</f>
        <v>118</v>
      </c>
      <c r="C135" s="395"/>
      <c r="D135" s="394">
        <f>IFERROR(IF(Loan_Not_Paid*Values_Entered,Beginning_Balance,""), "")</f>
        <v>297919537.07881522</v>
      </c>
      <c r="E135" s="394">
        <f>IFERROR(IF(Loan_Not_Paid*Values_Entered,Monthly_Payment,""), "")</f>
        <v>2207847.2070036912</v>
      </c>
      <c r="F135" s="394">
        <f>IFERROR(IF(Loan_Not_Paid*Values_Entered,Principal,""), "")</f>
        <v>594116.38116011245</v>
      </c>
      <c r="G135" s="394">
        <f>IFERROR(IF(Loan_Not_Paid*Values_Entered,Interest,""), "")</f>
        <v>1613730.8258435789</v>
      </c>
      <c r="H135" s="394">
        <f>IFERROR(IF(Loan_Not_Paid*Values_Entered,Ending_Balance,""), "")</f>
        <v>297325420.69765514</v>
      </c>
    </row>
    <row r="136" spans="2:8">
      <c r="B136" s="396">
        <f>IFERROR(IF(Loan_Not_Paid*Values_Entered,Payment_Number,""), "")</f>
        <v>119</v>
      </c>
      <c r="C136" s="395"/>
      <c r="D136" s="394">
        <f>IFERROR(IF(Loan_Not_Paid*Values_Entered,Beginning_Balance,""), "")</f>
        <v>297325420.69765514</v>
      </c>
      <c r="E136" s="394">
        <f>IFERROR(IF(Loan_Not_Paid*Values_Entered,Monthly_Payment,""), "")</f>
        <v>2207847.2070036912</v>
      </c>
      <c r="F136" s="394">
        <f>IFERROR(IF(Loan_Not_Paid*Values_Entered,Principal,""), "")</f>
        <v>597334.51155806298</v>
      </c>
      <c r="G136" s="394">
        <f>IFERROR(IF(Loan_Not_Paid*Values_Entered,Interest,""), "")</f>
        <v>1610512.6954456286</v>
      </c>
      <c r="H136" s="394">
        <f>IFERROR(IF(Loan_Not_Paid*Values_Entered,Ending_Balance,""), "")</f>
        <v>296728086.18609709</v>
      </c>
    </row>
    <row r="137" spans="2:8">
      <c r="B137" s="396">
        <f>IFERROR(IF(Loan_Not_Paid*Values_Entered,Payment_Number,""), "")</f>
        <v>120</v>
      </c>
      <c r="C137" s="395"/>
      <c r="D137" s="394">
        <f>IFERROR(IF(Loan_Not_Paid*Values_Entered,Beginning_Balance,""), "")</f>
        <v>296728086.18609709</v>
      </c>
      <c r="E137" s="394">
        <f>IFERROR(IF(Loan_Not_Paid*Values_Entered,Monthly_Payment,""), "")</f>
        <v>2207847.2070036912</v>
      </c>
      <c r="F137" s="394">
        <f>IFERROR(IF(Loan_Not_Paid*Values_Entered,Principal,""), "")</f>
        <v>600570.07349566917</v>
      </c>
      <c r="G137" s="394">
        <f>IFERROR(IF(Loan_Not_Paid*Values_Entered,Interest,""), "")</f>
        <v>1607277.1335080222</v>
      </c>
      <c r="H137" s="394">
        <f>IFERROR(IF(Loan_Not_Paid*Values_Entered,Ending_Balance,""), "")</f>
        <v>296127516.11260146</v>
      </c>
    </row>
    <row r="138" spans="2:8">
      <c r="B138" s="396">
        <f>IFERROR(IF(Loan_Not_Paid*Values_Entered,Payment_Number,""), "")</f>
        <v>121</v>
      </c>
      <c r="C138" s="395"/>
      <c r="D138" s="394">
        <f>IFERROR(IF(Loan_Not_Paid*Values_Entered,Beginning_Balance,""), "")</f>
        <v>296127516.11260146</v>
      </c>
      <c r="E138" s="394">
        <f>IFERROR(IF(Loan_Not_Paid*Values_Entered,Monthly_Payment,""), "")</f>
        <v>2207847.2070036912</v>
      </c>
      <c r="F138" s="394">
        <f>IFERROR(IF(Loan_Not_Paid*Values_Entered,Principal,""), "")</f>
        <v>603823.16139377072</v>
      </c>
      <c r="G138" s="394">
        <f>IFERROR(IF(Loan_Not_Paid*Values_Entered,Interest,""), "")</f>
        <v>1604024.0456099205</v>
      </c>
      <c r="H138" s="394">
        <f>IFERROR(IF(Loan_Not_Paid*Values_Entered,Ending_Balance,""), "")</f>
        <v>295523692.9512077</v>
      </c>
    </row>
    <row r="139" spans="2:8">
      <c r="B139" s="396">
        <f>IFERROR(IF(Loan_Not_Paid*Values_Entered,Payment_Number,""), "")</f>
        <v>122</v>
      </c>
      <c r="C139" s="395"/>
      <c r="D139" s="394">
        <f>IFERROR(IF(Loan_Not_Paid*Values_Entered,Beginning_Balance,""), "")</f>
        <v>295523692.9512077</v>
      </c>
      <c r="E139" s="394">
        <f>IFERROR(IF(Loan_Not_Paid*Values_Entered,Monthly_Payment,""), "")</f>
        <v>2207847.2070036912</v>
      </c>
      <c r="F139" s="394">
        <f>IFERROR(IF(Loan_Not_Paid*Values_Entered,Principal,""), "")</f>
        <v>607093.87018465356</v>
      </c>
      <c r="G139" s="394">
        <f>IFERROR(IF(Loan_Not_Paid*Values_Entered,Interest,""), "")</f>
        <v>1600753.3368190376</v>
      </c>
      <c r="H139" s="394">
        <f>IFERROR(IF(Loan_Not_Paid*Values_Entered,Ending_Balance,""), "")</f>
        <v>294916599.0810231</v>
      </c>
    </row>
    <row r="140" spans="2:8">
      <c r="B140" s="396">
        <f>IFERROR(IF(Loan_Not_Paid*Values_Entered,Payment_Number,""), "")</f>
        <v>123</v>
      </c>
      <c r="C140" s="395"/>
      <c r="D140" s="394">
        <f>IFERROR(IF(Loan_Not_Paid*Values_Entered,Beginning_Balance,""), "")</f>
        <v>294916599.0810231</v>
      </c>
      <c r="E140" s="394">
        <f>IFERROR(IF(Loan_Not_Paid*Values_Entered,Monthly_Payment,""), "")</f>
        <v>2207847.2070036912</v>
      </c>
      <c r="F140" s="394">
        <f>IFERROR(IF(Loan_Not_Paid*Values_Entered,Principal,""), "")</f>
        <v>610382.29531482048</v>
      </c>
      <c r="G140" s="394">
        <f>IFERROR(IF(Loan_Not_Paid*Values_Entered,Interest,""), "")</f>
        <v>1597464.9116888708</v>
      </c>
      <c r="H140" s="394">
        <f>IFERROR(IF(Loan_Not_Paid*Values_Entered,Ending_Balance,""), "")</f>
        <v>294306216.78570825</v>
      </c>
    </row>
    <row r="141" spans="2:8">
      <c r="B141" s="396">
        <f>IFERROR(IF(Loan_Not_Paid*Values_Entered,Payment_Number,""), "")</f>
        <v>124</v>
      </c>
      <c r="C141" s="395"/>
      <c r="D141" s="394">
        <f>IFERROR(IF(Loan_Not_Paid*Values_Entered,Beginning_Balance,""), "")</f>
        <v>294306216.78570825</v>
      </c>
      <c r="E141" s="394">
        <f>IFERROR(IF(Loan_Not_Paid*Values_Entered,Monthly_Payment,""), "")</f>
        <v>2207847.2070036912</v>
      </c>
      <c r="F141" s="394">
        <f>IFERROR(IF(Loan_Not_Paid*Values_Entered,Principal,""), "")</f>
        <v>613688.5327477759</v>
      </c>
      <c r="G141" s="394">
        <f>IFERROR(IF(Loan_Not_Paid*Values_Entered,Interest,""), "")</f>
        <v>1594158.6742559155</v>
      </c>
      <c r="H141" s="394">
        <f>IFERROR(IF(Loan_Not_Paid*Values_Entered,Ending_Balance,""), "")</f>
        <v>293692528.25296044</v>
      </c>
    </row>
    <row r="142" spans="2:8">
      <c r="B142" s="396">
        <f>IFERROR(IF(Loan_Not_Paid*Values_Entered,Payment_Number,""), "")</f>
        <v>125</v>
      </c>
      <c r="C142" s="395"/>
      <c r="D142" s="394">
        <f>IFERROR(IF(Loan_Not_Paid*Values_Entered,Beginning_Balance,""), "")</f>
        <v>293692528.25296044</v>
      </c>
      <c r="E142" s="394">
        <f>IFERROR(IF(Loan_Not_Paid*Values_Entered,Monthly_Payment,""), "")</f>
        <v>2207847.2070036912</v>
      </c>
      <c r="F142" s="394">
        <f>IFERROR(IF(Loan_Not_Paid*Values_Entered,Principal,""), "")</f>
        <v>617012.67896682629</v>
      </c>
      <c r="G142" s="394">
        <f>IFERROR(IF(Loan_Not_Paid*Values_Entered,Interest,""), "")</f>
        <v>1590834.5280368649</v>
      </c>
      <c r="H142" s="394">
        <f>IFERROR(IF(Loan_Not_Paid*Values_Entered,Ending_Balance,""), "")</f>
        <v>293075515.57399368</v>
      </c>
    </row>
    <row r="143" spans="2:8">
      <c r="B143" s="396">
        <f>IFERROR(IF(Loan_Not_Paid*Values_Entered,Payment_Number,""), "")</f>
        <v>126</v>
      </c>
      <c r="C143" s="395"/>
      <c r="D143" s="394">
        <f>IFERROR(IF(Loan_Not_Paid*Values_Entered,Beginning_Balance,""), "")</f>
        <v>293075515.57399368</v>
      </c>
      <c r="E143" s="394">
        <f>IFERROR(IF(Loan_Not_Paid*Values_Entered,Monthly_Payment,""), "")</f>
        <v>2207847.2070036912</v>
      </c>
      <c r="F143" s="394">
        <f>IFERROR(IF(Loan_Not_Paid*Values_Entered,Principal,""), "")</f>
        <v>620354.83097789669</v>
      </c>
      <c r="G143" s="394">
        <f>IFERROR(IF(Loan_Not_Paid*Values_Entered,Interest,""), "")</f>
        <v>1587492.3760257943</v>
      </c>
      <c r="H143" s="394">
        <f>IFERROR(IF(Loan_Not_Paid*Values_Entered,Ending_Balance,""), "")</f>
        <v>292455160.74301583</v>
      </c>
    </row>
    <row r="144" spans="2:8">
      <c r="B144" s="396">
        <f>IFERROR(IF(Loan_Not_Paid*Values_Entered,Payment_Number,""), "")</f>
        <v>127</v>
      </c>
      <c r="C144" s="395"/>
      <c r="D144" s="394">
        <f>IFERROR(IF(Loan_Not_Paid*Values_Entered,Beginning_Balance,""), "")</f>
        <v>292455160.74301583</v>
      </c>
      <c r="E144" s="394">
        <f>IFERROR(IF(Loan_Not_Paid*Values_Entered,Monthly_Payment,""), "")</f>
        <v>2207847.2070036912</v>
      </c>
      <c r="F144" s="394">
        <f>IFERROR(IF(Loan_Not_Paid*Values_Entered,Principal,""), "")</f>
        <v>623715.08631236025</v>
      </c>
      <c r="G144" s="394">
        <f>IFERROR(IF(Loan_Not_Paid*Values_Entered,Interest,""), "")</f>
        <v>1584132.1206913309</v>
      </c>
      <c r="H144" s="394">
        <f>IFERROR(IF(Loan_Not_Paid*Values_Entered,Ending_Balance,""), "")</f>
        <v>291831445.65670341</v>
      </c>
    </row>
    <row r="145" spans="2:8">
      <c r="B145" s="396">
        <f>IFERROR(IF(Loan_Not_Paid*Values_Entered,Payment_Number,""), "")</f>
        <v>128</v>
      </c>
      <c r="C145" s="395"/>
      <c r="D145" s="394">
        <f>IFERROR(IF(Loan_Not_Paid*Values_Entered,Beginning_Balance,""), "")</f>
        <v>291831445.65670341</v>
      </c>
      <c r="E145" s="394">
        <f>IFERROR(IF(Loan_Not_Paid*Values_Entered,Monthly_Payment,""), "")</f>
        <v>2207847.2070036912</v>
      </c>
      <c r="F145" s="394">
        <f>IFERROR(IF(Loan_Not_Paid*Values_Entered,Principal,""), "")</f>
        <v>627093.54302988551</v>
      </c>
      <c r="G145" s="394">
        <f>IFERROR(IF(Loan_Not_Paid*Values_Entered,Interest,""), "")</f>
        <v>1580753.6639738057</v>
      </c>
      <c r="H145" s="394">
        <f>IFERROR(IF(Loan_Not_Paid*Values_Entered,Ending_Balance,""), "")</f>
        <v>291204352.11367351</v>
      </c>
    </row>
    <row r="146" spans="2:8">
      <c r="B146" s="396">
        <f>IFERROR(IF(Loan_Not_Paid*Values_Entered,Payment_Number,""), "")</f>
        <v>129</v>
      </c>
      <c r="C146" s="395"/>
      <c r="D146" s="394">
        <f>IFERROR(IF(Loan_Not_Paid*Values_Entered,Beginning_Balance,""), "")</f>
        <v>291204352.11367351</v>
      </c>
      <c r="E146" s="394">
        <f>IFERROR(IF(Loan_Not_Paid*Values_Entered,Monthly_Payment,""), "")</f>
        <v>2207847.2070036912</v>
      </c>
      <c r="F146" s="394">
        <f>IFERROR(IF(Loan_Not_Paid*Values_Entered,Principal,""), "")</f>
        <v>630490.29972129734</v>
      </c>
      <c r="G146" s="394">
        <f>IFERROR(IF(Loan_Not_Paid*Values_Entered,Interest,""), "")</f>
        <v>1577356.9072823937</v>
      </c>
      <c r="H146" s="394">
        <f>IFERROR(IF(Loan_Not_Paid*Values_Entered,Ending_Balance,""), "")</f>
        <v>290573861.81395221</v>
      </c>
    </row>
    <row r="147" spans="2:8">
      <c r="B147" s="396">
        <f>IFERROR(IF(Loan_Not_Paid*Values_Entered,Payment_Number,""), "")</f>
        <v>130</v>
      </c>
      <c r="C147" s="395"/>
      <c r="D147" s="394">
        <f>IFERROR(IF(Loan_Not_Paid*Values_Entered,Beginning_Balance,""), "")</f>
        <v>290573861.81395221</v>
      </c>
      <c r="E147" s="394">
        <f>IFERROR(IF(Loan_Not_Paid*Values_Entered,Monthly_Payment,""), "")</f>
        <v>2207847.2070036912</v>
      </c>
      <c r="F147" s="394">
        <f>IFERROR(IF(Loan_Not_Paid*Values_Entered,Principal,""), "")</f>
        <v>633905.45551145438</v>
      </c>
      <c r="G147" s="394">
        <f>IFERROR(IF(Loan_Not_Paid*Values_Entered,Interest,""), "")</f>
        <v>1573941.7514922367</v>
      </c>
      <c r="H147" s="394">
        <f>IFERROR(IF(Loan_Not_Paid*Values_Entered,Ending_Balance,""), "")</f>
        <v>289939956.35844082</v>
      </c>
    </row>
    <row r="148" spans="2:8">
      <c r="B148" s="396">
        <f>IFERROR(IF(Loan_Not_Paid*Values_Entered,Payment_Number,""), "")</f>
        <v>131</v>
      </c>
      <c r="C148" s="395"/>
      <c r="D148" s="394">
        <f>IFERROR(IF(Loan_Not_Paid*Values_Entered,Beginning_Balance,""), "")</f>
        <v>289939956.35844082</v>
      </c>
      <c r="E148" s="394">
        <f>IFERROR(IF(Loan_Not_Paid*Values_Entered,Monthly_Payment,""), "")</f>
        <v>2207847.2070036912</v>
      </c>
      <c r="F148" s="394">
        <f>IFERROR(IF(Loan_Not_Paid*Values_Entered,Principal,""), "")</f>
        <v>637339.11006214144</v>
      </c>
      <c r="G148" s="394">
        <f>IFERROR(IF(Loan_Not_Paid*Values_Entered,Interest,""), "")</f>
        <v>1570508.0969415496</v>
      </c>
      <c r="H148" s="394">
        <f>IFERROR(IF(Loan_Not_Paid*Values_Entered,Ending_Balance,""), "")</f>
        <v>289302617.24837869</v>
      </c>
    </row>
    <row r="149" spans="2:8">
      <c r="B149" s="396">
        <f>IFERROR(IF(Loan_Not_Paid*Values_Entered,Payment_Number,""), "")</f>
        <v>132</v>
      </c>
      <c r="C149" s="395"/>
      <c r="D149" s="394">
        <f>IFERROR(IF(Loan_Not_Paid*Values_Entered,Beginning_Balance,""), "")</f>
        <v>289302617.24837869</v>
      </c>
      <c r="E149" s="394">
        <f>IFERROR(IF(Loan_Not_Paid*Values_Entered,Monthly_Payment,""), "")</f>
        <v>2207847.2070036912</v>
      </c>
      <c r="F149" s="394">
        <f>IFERROR(IF(Loan_Not_Paid*Values_Entered,Principal,""), "")</f>
        <v>640791.36357497796</v>
      </c>
      <c r="G149" s="394">
        <f>IFERROR(IF(Loan_Not_Paid*Values_Entered,Interest,""), "")</f>
        <v>1567055.843428713</v>
      </c>
      <c r="H149" s="394">
        <f>IFERROR(IF(Loan_Not_Paid*Values_Entered,Ending_Balance,""), "")</f>
        <v>288661825.88480377</v>
      </c>
    </row>
    <row r="150" spans="2:8">
      <c r="B150" s="396">
        <f>IFERROR(IF(Loan_Not_Paid*Values_Entered,Payment_Number,""), "")</f>
        <v>133</v>
      </c>
      <c r="C150" s="395"/>
      <c r="D150" s="394">
        <f>IFERROR(IF(Loan_Not_Paid*Values_Entered,Beginning_Balance,""), "")</f>
        <v>288661825.88480377</v>
      </c>
      <c r="E150" s="394">
        <f>IFERROR(IF(Loan_Not_Paid*Values_Entered,Monthly_Payment,""), "")</f>
        <v>2207847.2070036912</v>
      </c>
      <c r="F150" s="394">
        <f>IFERROR(IF(Loan_Not_Paid*Values_Entered,Principal,""), "")</f>
        <v>644262.31679434236</v>
      </c>
      <c r="G150" s="394">
        <f>IFERROR(IF(Loan_Not_Paid*Values_Entered,Interest,""), "")</f>
        <v>1563584.8902093486</v>
      </c>
      <c r="H150" s="394">
        <f>IFERROR(IF(Loan_Not_Paid*Values_Entered,Ending_Balance,""), "")</f>
        <v>288017563.56800938</v>
      </c>
    </row>
    <row r="151" spans="2:8">
      <c r="B151" s="396">
        <f>IFERROR(IF(Loan_Not_Paid*Values_Entered,Payment_Number,""), "")</f>
        <v>134</v>
      </c>
      <c r="C151" s="395"/>
      <c r="D151" s="394">
        <f>IFERROR(IF(Loan_Not_Paid*Values_Entered,Beginning_Balance,""), "")</f>
        <v>288017563.56800938</v>
      </c>
      <c r="E151" s="394">
        <f>IFERROR(IF(Loan_Not_Paid*Values_Entered,Monthly_Payment,""), "")</f>
        <v>2207847.2070036912</v>
      </c>
      <c r="F151" s="394">
        <f>IFERROR(IF(Loan_Not_Paid*Values_Entered,Principal,""), "")</f>
        <v>647752.07101031183</v>
      </c>
      <c r="G151" s="394">
        <f>IFERROR(IF(Loan_Not_Paid*Values_Entered,Interest,""), "")</f>
        <v>1560095.1359933796</v>
      </c>
      <c r="H151" s="394">
        <f>IFERROR(IF(Loan_Not_Paid*Values_Entered,Ending_Balance,""), "")</f>
        <v>287369811.49699908</v>
      </c>
    </row>
    <row r="152" spans="2:8">
      <c r="B152" s="396">
        <f>IFERROR(IF(Loan_Not_Paid*Values_Entered,Payment_Number,""), "")</f>
        <v>135</v>
      </c>
      <c r="C152" s="395"/>
      <c r="D152" s="394">
        <f>IFERROR(IF(Loan_Not_Paid*Values_Entered,Beginning_Balance,""), "")</f>
        <v>287369811.49699908</v>
      </c>
      <c r="E152" s="394">
        <f>IFERROR(IF(Loan_Not_Paid*Values_Entered,Monthly_Payment,""), "")</f>
        <v>2207847.2070036912</v>
      </c>
      <c r="F152" s="394">
        <f>IFERROR(IF(Loan_Not_Paid*Values_Entered,Principal,""), "")</f>
        <v>651260.72806161782</v>
      </c>
      <c r="G152" s="394">
        <f>IFERROR(IF(Loan_Not_Paid*Values_Entered,Interest,""), "")</f>
        <v>1556586.4789420732</v>
      </c>
      <c r="H152" s="394">
        <f>IFERROR(IF(Loan_Not_Paid*Values_Entered,Ending_Balance,""), "")</f>
        <v>286718550.76893747</v>
      </c>
    </row>
    <row r="153" spans="2:8">
      <c r="B153" s="396">
        <f>IFERROR(IF(Loan_Not_Paid*Values_Entered,Payment_Number,""), "")</f>
        <v>136</v>
      </c>
      <c r="C153" s="395"/>
      <c r="D153" s="394">
        <f>IFERROR(IF(Loan_Not_Paid*Values_Entered,Beginning_Balance,""), "")</f>
        <v>286718550.76893747</v>
      </c>
      <c r="E153" s="394">
        <f>IFERROR(IF(Loan_Not_Paid*Values_Entered,Monthly_Payment,""), "")</f>
        <v>2207847.2070036912</v>
      </c>
      <c r="F153" s="394">
        <f>IFERROR(IF(Loan_Not_Paid*Values_Entered,Principal,""), "")</f>
        <v>654788.39033861819</v>
      </c>
      <c r="G153" s="394">
        <f>IFERROR(IF(Loan_Not_Paid*Values_Entered,Interest,""), "")</f>
        <v>1553058.8166650732</v>
      </c>
      <c r="H153" s="394">
        <f>IFERROR(IF(Loan_Not_Paid*Values_Entered,Ending_Balance,""), "")</f>
        <v>286063762.37859893</v>
      </c>
    </row>
    <row r="154" spans="2:8">
      <c r="B154" s="396">
        <f>IFERROR(IF(Loan_Not_Paid*Values_Entered,Payment_Number,""), "")</f>
        <v>137</v>
      </c>
      <c r="C154" s="395"/>
      <c r="D154" s="394">
        <f>IFERROR(IF(Loan_Not_Paid*Values_Entered,Beginning_Balance,""), "")</f>
        <v>286063762.37859893</v>
      </c>
      <c r="E154" s="394">
        <f>IFERROR(IF(Loan_Not_Paid*Values_Entered,Monthly_Payment,""), "")</f>
        <v>2207847.2070036912</v>
      </c>
      <c r="F154" s="394">
        <f>IFERROR(IF(Loan_Not_Paid*Values_Entered,Principal,""), "")</f>
        <v>658335.16078628553</v>
      </c>
      <c r="G154" s="394">
        <f>IFERROR(IF(Loan_Not_Paid*Values_Entered,Interest,""), "")</f>
        <v>1549512.0462174055</v>
      </c>
      <c r="H154" s="394">
        <f>IFERROR(IF(Loan_Not_Paid*Values_Entered,Ending_Balance,""), "")</f>
        <v>285405427.2178126</v>
      </c>
    </row>
    <row r="155" spans="2:8">
      <c r="B155" s="396">
        <f>IFERROR(IF(Loan_Not_Paid*Values_Entered,Payment_Number,""), "")</f>
        <v>138</v>
      </c>
      <c r="C155" s="395"/>
      <c r="D155" s="394">
        <f>IFERROR(IF(Loan_Not_Paid*Values_Entered,Beginning_Balance,""), "")</f>
        <v>285405427.2178126</v>
      </c>
      <c r="E155" s="394">
        <f>IFERROR(IF(Loan_Not_Paid*Values_Entered,Monthly_Payment,""), "")</f>
        <v>2207847.2070036912</v>
      </c>
      <c r="F155" s="394">
        <f>IFERROR(IF(Loan_Not_Paid*Values_Entered,Principal,""), "")</f>
        <v>661901.14290721132</v>
      </c>
      <c r="G155" s="394">
        <f>IFERROR(IF(Loan_Not_Paid*Values_Entered,Interest,""), "")</f>
        <v>1545946.0640964797</v>
      </c>
      <c r="H155" s="394">
        <f>IFERROR(IF(Loan_Not_Paid*Values_Entered,Ending_Balance,""), "")</f>
        <v>284743526.07490546</v>
      </c>
    </row>
    <row r="156" spans="2:8">
      <c r="B156" s="396">
        <f>IFERROR(IF(Loan_Not_Paid*Values_Entered,Payment_Number,""), "")</f>
        <v>139</v>
      </c>
      <c r="C156" s="395"/>
      <c r="D156" s="394">
        <f>IFERROR(IF(Loan_Not_Paid*Values_Entered,Beginning_Balance,""), "")</f>
        <v>284743526.07490546</v>
      </c>
      <c r="E156" s="394">
        <f>IFERROR(IF(Loan_Not_Paid*Values_Entered,Monthly_Payment,""), "")</f>
        <v>2207847.2070036912</v>
      </c>
      <c r="F156" s="394">
        <f>IFERROR(IF(Loan_Not_Paid*Values_Entered,Principal,""), "")</f>
        <v>665486.44076462544</v>
      </c>
      <c r="G156" s="394">
        <f>IFERROR(IF(Loan_Not_Paid*Values_Entered,Interest,""), "")</f>
        <v>1542360.7662390657</v>
      </c>
      <c r="H156" s="394">
        <f>IFERROR(IF(Loan_Not_Paid*Values_Entered,Ending_Balance,""), "")</f>
        <v>284078039.63414085</v>
      </c>
    </row>
    <row r="157" spans="2:8">
      <c r="B157" s="396">
        <f>IFERROR(IF(Loan_Not_Paid*Values_Entered,Payment_Number,""), "")</f>
        <v>140</v>
      </c>
      <c r="C157" s="395"/>
      <c r="D157" s="394">
        <f>IFERROR(IF(Loan_Not_Paid*Values_Entered,Beginning_Balance,""), "")</f>
        <v>284078039.63414085</v>
      </c>
      <c r="E157" s="394">
        <f>IFERROR(IF(Loan_Not_Paid*Values_Entered,Monthly_Payment,""), "")</f>
        <v>2207847.2070036912</v>
      </c>
      <c r="F157" s="394">
        <f>IFERROR(IF(Loan_Not_Paid*Values_Entered,Principal,""), "")</f>
        <v>669091.15898543387</v>
      </c>
      <c r="G157" s="394">
        <f>IFERROR(IF(Loan_Not_Paid*Values_Entered,Interest,""), "")</f>
        <v>1538756.0480182576</v>
      </c>
      <c r="H157" s="394">
        <f>IFERROR(IF(Loan_Not_Paid*Values_Entered,Ending_Balance,""), "")</f>
        <v>283408948.47515529</v>
      </c>
    </row>
    <row r="158" spans="2:8">
      <c r="B158" s="396">
        <f>IFERROR(IF(Loan_Not_Paid*Values_Entered,Payment_Number,""), "")</f>
        <v>141</v>
      </c>
      <c r="C158" s="395"/>
      <c r="D158" s="394">
        <f>IFERROR(IF(Loan_Not_Paid*Values_Entered,Beginning_Balance,""), "")</f>
        <v>283408948.47515529</v>
      </c>
      <c r="E158" s="394">
        <f>IFERROR(IF(Loan_Not_Paid*Values_Entered,Monthly_Payment,""), "")</f>
        <v>2207847.2070036912</v>
      </c>
      <c r="F158" s="394">
        <f>IFERROR(IF(Loan_Not_Paid*Values_Entered,Principal,""), "")</f>
        <v>672715.4027632717</v>
      </c>
      <c r="G158" s="394">
        <f>IFERROR(IF(Loan_Not_Paid*Values_Entered,Interest,""), "")</f>
        <v>1535131.8042404198</v>
      </c>
      <c r="H158" s="394">
        <f>IFERROR(IF(Loan_Not_Paid*Values_Entered,Ending_Balance,""), "")</f>
        <v>282736233.07239211</v>
      </c>
    </row>
    <row r="159" spans="2:8">
      <c r="B159" s="396">
        <f>IFERROR(IF(Loan_Not_Paid*Values_Entered,Payment_Number,""), "")</f>
        <v>142</v>
      </c>
      <c r="C159" s="395"/>
      <c r="D159" s="394">
        <f>IFERROR(IF(Loan_Not_Paid*Values_Entered,Beginning_Balance,""), "")</f>
        <v>282736233.07239211</v>
      </c>
      <c r="E159" s="394">
        <f>IFERROR(IF(Loan_Not_Paid*Values_Entered,Monthly_Payment,""), "")</f>
        <v>2207847.2070036912</v>
      </c>
      <c r="F159" s="394">
        <f>IFERROR(IF(Loan_Not_Paid*Values_Entered,Principal,""), "")</f>
        <v>676359.27786157257</v>
      </c>
      <c r="G159" s="394">
        <f>IFERROR(IF(Loan_Not_Paid*Values_Entered,Interest,""), "")</f>
        <v>1531487.9291421184</v>
      </c>
      <c r="H159" s="394">
        <f>IFERROR(IF(Loan_Not_Paid*Values_Entered,Ending_Balance,""), "")</f>
        <v>282059873.79453063</v>
      </c>
    </row>
    <row r="160" spans="2:8">
      <c r="B160" s="396">
        <f>IFERROR(IF(Loan_Not_Paid*Values_Entered,Payment_Number,""), "")</f>
        <v>143</v>
      </c>
      <c r="C160" s="395"/>
      <c r="D160" s="394">
        <f>IFERROR(IF(Loan_Not_Paid*Values_Entered,Beginning_Balance,""), "")</f>
        <v>282059873.79453063</v>
      </c>
      <c r="E160" s="394">
        <f>IFERROR(IF(Loan_Not_Paid*Values_Entered,Monthly_Payment,""), "")</f>
        <v>2207847.2070036912</v>
      </c>
      <c r="F160" s="394">
        <f>IFERROR(IF(Loan_Not_Paid*Values_Entered,Principal,""), "")</f>
        <v>680022.89061665616</v>
      </c>
      <c r="G160" s="394">
        <f>IFERROR(IF(Loan_Not_Paid*Values_Entered,Interest,""), "")</f>
        <v>1527824.3163870352</v>
      </c>
      <c r="H160" s="394">
        <f>IFERROR(IF(Loan_Not_Paid*Values_Entered,Ending_Balance,""), "")</f>
        <v>281379850.90391392</v>
      </c>
    </row>
    <row r="161" spans="2:8">
      <c r="B161" s="396">
        <f>IFERROR(IF(Loan_Not_Paid*Values_Entered,Payment_Number,""), "")</f>
        <v>144</v>
      </c>
      <c r="C161" s="395"/>
      <c r="D161" s="394">
        <f>IFERROR(IF(Loan_Not_Paid*Values_Entered,Beginning_Balance,""), "")</f>
        <v>281379850.90391392</v>
      </c>
      <c r="E161" s="394">
        <f>IFERROR(IF(Loan_Not_Paid*Values_Entered,Monthly_Payment,""), "")</f>
        <v>2207847.2070036912</v>
      </c>
      <c r="F161" s="394">
        <f>IFERROR(IF(Loan_Not_Paid*Values_Entered,Principal,""), "")</f>
        <v>683706.3479408297</v>
      </c>
      <c r="G161" s="394">
        <f>IFERROR(IF(Loan_Not_Paid*Values_Entered,Interest,""), "")</f>
        <v>1524140.8590628617</v>
      </c>
      <c r="H161" s="394">
        <f>IFERROR(IF(Loan_Not_Paid*Values_Entered,Ending_Balance,""), "")</f>
        <v>280696144.55597317</v>
      </c>
    </row>
    <row r="162" spans="2:8">
      <c r="B162" s="396">
        <f>IFERROR(IF(Loan_Not_Paid*Values_Entered,Payment_Number,""), "")</f>
        <v>145</v>
      </c>
      <c r="C162" s="395"/>
      <c r="D162" s="394">
        <f>IFERROR(IF(Loan_Not_Paid*Values_Entered,Beginning_Balance,""), "")</f>
        <v>280696144.55597317</v>
      </c>
      <c r="E162" s="394">
        <f>IFERROR(IF(Loan_Not_Paid*Values_Entered,Monthly_Payment,""), "")</f>
        <v>2207847.2070036912</v>
      </c>
      <c r="F162" s="394">
        <f>IFERROR(IF(Loan_Not_Paid*Values_Entered,Principal,""), "")</f>
        <v>687409.75732550921</v>
      </c>
      <c r="G162" s="394">
        <f>IFERROR(IF(Loan_Not_Paid*Values_Entered,Interest,""), "")</f>
        <v>1520437.4496781819</v>
      </c>
      <c r="H162" s="394">
        <f>IFERROR(IF(Loan_Not_Paid*Values_Entered,Ending_Balance,""), "")</f>
        <v>280008734.79864764</v>
      </c>
    </row>
    <row r="163" spans="2:8">
      <c r="B163" s="396">
        <f>IFERROR(IF(Loan_Not_Paid*Values_Entered,Payment_Number,""), "")</f>
        <v>146</v>
      </c>
      <c r="C163" s="395"/>
      <c r="D163" s="394">
        <f>IFERROR(IF(Loan_Not_Paid*Values_Entered,Beginning_Balance,""), "")</f>
        <v>280008734.79864764</v>
      </c>
      <c r="E163" s="394">
        <f>IFERROR(IF(Loan_Not_Paid*Values_Entered,Monthly_Payment,""), "")</f>
        <v>2207847.2070036912</v>
      </c>
      <c r="F163" s="394">
        <f>IFERROR(IF(Loan_Not_Paid*Values_Entered,Principal,""), "")</f>
        <v>691133.22684435581</v>
      </c>
      <c r="G163" s="394">
        <f>IFERROR(IF(Loan_Not_Paid*Values_Entered,Interest,""), "")</f>
        <v>1516713.9801593353</v>
      </c>
      <c r="H163" s="394">
        <f>IFERROR(IF(Loan_Not_Paid*Values_Entered,Ending_Balance,""), "")</f>
        <v>279317601.57180327</v>
      </c>
    </row>
    <row r="164" spans="2:8">
      <c r="B164" s="396">
        <f>IFERROR(IF(Loan_Not_Paid*Values_Entered,Payment_Number,""), "")</f>
        <v>147</v>
      </c>
      <c r="C164" s="395"/>
      <c r="D164" s="394">
        <f>IFERROR(IF(Loan_Not_Paid*Values_Entered,Beginning_Balance,""), "")</f>
        <v>279317601.57180327</v>
      </c>
      <c r="E164" s="394">
        <f>IFERROR(IF(Loan_Not_Paid*Values_Entered,Monthly_Payment,""), "")</f>
        <v>2207847.2070036912</v>
      </c>
      <c r="F164" s="394">
        <f>IFERROR(IF(Loan_Not_Paid*Values_Entered,Principal,""), "")</f>
        <v>694876.86515642924</v>
      </c>
      <c r="G164" s="394">
        <f>IFERROR(IF(Loan_Not_Paid*Values_Entered,Interest,""), "")</f>
        <v>1512970.3418472619</v>
      </c>
      <c r="H164" s="394">
        <f>IFERROR(IF(Loan_Not_Paid*Values_Entered,Ending_Balance,""), "")</f>
        <v>278622724.7066468</v>
      </c>
    </row>
    <row r="165" spans="2:8">
      <c r="B165" s="396">
        <f>IFERROR(IF(Loan_Not_Paid*Values_Entered,Payment_Number,""), "")</f>
        <v>148</v>
      </c>
      <c r="C165" s="395"/>
      <c r="D165" s="394">
        <f>IFERROR(IF(Loan_Not_Paid*Values_Entered,Beginning_Balance,""), "")</f>
        <v>278622724.7066468</v>
      </c>
      <c r="E165" s="394">
        <f>IFERROR(IF(Loan_Not_Paid*Values_Entered,Monthly_Payment,""), "")</f>
        <v>2207847.2070036912</v>
      </c>
      <c r="F165" s="394">
        <f>IFERROR(IF(Loan_Not_Paid*Values_Entered,Principal,""), "")</f>
        <v>698640.78150935995</v>
      </c>
      <c r="G165" s="394">
        <f>IFERROR(IF(Loan_Not_Paid*Values_Entered,Interest,""), "")</f>
        <v>1509206.4254943314</v>
      </c>
      <c r="H165" s="394">
        <f>IFERROR(IF(Loan_Not_Paid*Values_Entered,Ending_Balance,""), "")</f>
        <v>277924083.92513752</v>
      </c>
    </row>
    <row r="166" spans="2:8">
      <c r="B166" s="396">
        <f>IFERROR(IF(Loan_Not_Paid*Values_Entered,Payment_Number,""), "")</f>
        <v>149</v>
      </c>
      <c r="C166" s="395"/>
      <c r="D166" s="394">
        <f>IFERROR(IF(Loan_Not_Paid*Values_Entered,Beginning_Balance,""), "")</f>
        <v>277924083.92513752</v>
      </c>
      <c r="E166" s="394">
        <f>IFERROR(IF(Loan_Not_Paid*Values_Entered,Monthly_Payment,""), "")</f>
        <v>2207847.2070036912</v>
      </c>
      <c r="F166" s="394">
        <f>IFERROR(IF(Loan_Not_Paid*Values_Entered,Principal,""), "")</f>
        <v>702425.08574253565</v>
      </c>
      <c r="G166" s="394">
        <f>IFERROR(IF(Loan_Not_Paid*Values_Entered,Interest,""), "")</f>
        <v>1505422.1212611555</v>
      </c>
      <c r="H166" s="394">
        <f>IFERROR(IF(Loan_Not_Paid*Values_Entered,Ending_Balance,""), "")</f>
        <v>277221658.83939499</v>
      </c>
    </row>
    <row r="167" spans="2:8">
      <c r="B167" s="396">
        <f>IFERROR(IF(Loan_Not_Paid*Values_Entered,Payment_Number,""), "")</f>
        <v>150</v>
      </c>
      <c r="C167" s="395"/>
      <c r="D167" s="394">
        <f>IFERROR(IF(Loan_Not_Paid*Values_Entered,Beginning_Balance,""), "")</f>
        <v>277221658.83939499</v>
      </c>
      <c r="E167" s="394">
        <f>IFERROR(IF(Loan_Not_Paid*Values_Entered,Monthly_Payment,""), "")</f>
        <v>2207847.2070036912</v>
      </c>
      <c r="F167" s="394">
        <f>IFERROR(IF(Loan_Not_Paid*Values_Entered,Principal,""), "")</f>
        <v>706229.88829030783</v>
      </c>
      <c r="G167" s="394">
        <f>IFERROR(IF(Loan_Not_Paid*Values_Entered,Interest,""), "")</f>
        <v>1501617.3187133835</v>
      </c>
      <c r="H167" s="394">
        <f>IFERROR(IF(Loan_Not_Paid*Values_Entered,Ending_Balance,""), "")</f>
        <v>276515428.95110476</v>
      </c>
    </row>
    <row r="168" spans="2:8">
      <c r="B168" s="396">
        <f>IFERROR(IF(Loan_Not_Paid*Values_Entered,Payment_Number,""), "")</f>
        <v>151</v>
      </c>
      <c r="C168" s="395"/>
      <c r="D168" s="394">
        <f>IFERROR(IF(Loan_Not_Paid*Values_Entered,Beginning_Balance,""), "")</f>
        <v>276515428.95110476</v>
      </c>
      <c r="E168" s="394">
        <f>IFERROR(IF(Loan_Not_Paid*Values_Entered,Monthly_Payment,""), "")</f>
        <v>2207847.2070036912</v>
      </c>
      <c r="F168" s="394">
        <f>IFERROR(IF(Loan_Not_Paid*Values_Entered,Principal,""), "")</f>
        <v>710055.30018521356</v>
      </c>
      <c r="G168" s="394">
        <f>IFERROR(IF(Loan_Not_Paid*Values_Entered,Interest,""), "")</f>
        <v>1497791.9068184777</v>
      </c>
      <c r="H168" s="394">
        <f>IFERROR(IF(Loan_Not_Paid*Values_Entered,Ending_Balance,""), "")</f>
        <v>275805373.6509195</v>
      </c>
    </row>
    <row r="169" spans="2:8">
      <c r="B169" s="396">
        <f>IFERROR(IF(Loan_Not_Paid*Values_Entered,Payment_Number,""), "")</f>
        <v>152</v>
      </c>
      <c r="C169" s="395"/>
      <c r="D169" s="394">
        <f>IFERROR(IF(Loan_Not_Paid*Values_Entered,Beginning_Balance,""), "")</f>
        <v>275805373.6509195</v>
      </c>
      <c r="E169" s="394">
        <f>IFERROR(IF(Loan_Not_Paid*Values_Entered,Monthly_Payment,""), "")</f>
        <v>2207847.2070036912</v>
      </c>
      <c r="F169" s="394">
        <f>IFERROR(IF(Loan_Not_Paid*Values_Entered,Principal,""), "")</f>
        <v>713901.43306121673</v>
      </c>
      <c r="G169" s="394">
        <f>IFERROR(IF(Loan_Not_Paid*Values_Entered,Interest,""), "")</f>
        <v>1493945.7739424743</v>
      </c>
      <c r="H169" s="394">
        <f>IFERROR(IF(Loan_Not_Paid*Values_Entered,Ending_Balance,""), "")</f>
        <v>275091472.2178582</v>
      </c>
    </row>
    <row r="170" spans="2:8">
      <c r="B170" s="396">
        <f>IFERROR(IF(Loan_Not_Paid*Values_Entered,Payment_Number,""), "")</f>
        <v>153</v>
      </c>
      <c r="C170" s="395"/>
      <c r="D170" s="394">
        <f>IFERROR(IF(Loan_Not_Paid*Values_Entered,Beginning_Balance,""), "")</f>
        <v>275091472.2178582</v>
      </c>
      <c r="E170" s="394">
        <f>IFERROR(IF(Loan_Not_Paid*Values_Entered,Monthly_Payment,""), "")</f>
        <v>2207847.2070036912</v>
      </c>
      <c r="F170" s="394">
        <f>IFERROR(IF(Loan_Not_Paid*Values_Entered,Principal,""), "")</f>
        <v>717768.39915696497</v>
      </c>
      <c r="G170" s="394">
        <f>IFERROR(IF(Loan_Not_Paid*Values_Entered,Interest,""), "")</f>
        <v>1490078.8078467262</v>
      </c>
      <c r="H170" s="394">
        <f>IFERROR(IF(Loan_Not_Paid*Values_Entered,Ending_Balance,""), "")</f>
        <v>274373703.81870127</v>
      </c>
    </row>
    <row r="171" spans="2:8">
      <c r="B171" s="396">
        <f>IFERROR(IF(Loan_Not_Paid*Values_Entered,Payment_Number,""), "")</f>
        <v>154</v>
      </c>
      <c r="C171" s="395"/>
      <c r="D171" s="394">
        <f>IFERROR(IF(Loan_Not_Paid*Values_Entered,Beginning_Balance,""), "")</f>
        <v>274373703.81870127</v>
      </c>
      <c r="E171" s="394">
        <f>IFERROR(IF(Loan_Not_Paid*Values_Entered,Monthly_Payment,""), "")</f>
        <v>2207847.2070036912</v>
      </c>
      <c r="F171" s="394">
        <f>IFERROR(IF(Loan_Not_Paid*Values_Entered,Principal,""), "")</f>
        <v>721656.31131906528</v>
      </c>
      <c r="G171" s="394">
        <f>IFERROR(IF(Loan_Not_Paid*Values_Entered,Interest,""), "")</f>
        <v>1486190.8956846257</v>
      </c>
      <c r="H171" s="394">
        <f>IFERROR(IF(Loan_Not_Paid*Values_Entered,Ending_Balance,""), "")</f>
        <v>273652047.50738227</v>
      </c>
    </row>
    <row r="172" spans="2:8">
      <c r="B172" s="396">
        <f>IFERROR(IF(Loan_Not_Paid*Values_Entered,Payment_Number,""), "")</f>
        <v>155</v>
      </c>
      <c r="C172" s="395"/>
      <c r="D172" s="394">
        <f>IFERROR(IF(Loan_Not_Paid*Values_Entered,Beginning_Balance,""), "")</f>
        <v>273652047.50738227</v>
      </c>
      <c r="E172" s="394">
        <f>IFERROR(IF(Loan_Not_Paid*Values_Entered,Monthly_Payment,""), "")</f>
        <v>2207847.2070036912</v>
      </c>
      <c r="F172" s="394">
        <f>IFERROR(IF(Loan_Not_Paid*Values_Entered,Principal,""), "")</f>
        <v>725565.28300537693</v>
      </c>
      <c r="G172" s="394">
        <f>IFERROR(IF(Loan_Not_Paid*Values_Entered,Interest,""), "")</f>
        <v>1482281.9239983142</v>
      </c>
      <c r="H172" s="394">
        <f>IFERROR(IF(Loan_Not_Paid*Values_Entered,Ending_Balance,""), "")</f>
        <v>272926482.22437692</v>
      </c>
    </row>
    <row r="173" spans="2:8">
      <c r="B173" s="396">
        <f>IFERROR(IF(Loan_Not_Paid*Values_Entered,Payment_Number,""), "")</f>
        <v>156</v>
      </c>
      <c r="C173" s="395"/>
      <c r="D173" s="394">
        <f>IFERROR(IF(Loan_Not_Paid*Values_Entered,Beginning_Balance,""), "")</f>
        <v>272926482.22437692</v>
      </c>
      <c r="E173" s="394">
        <f>IFERROR(IF(Loan_Not_Paid*Values_Entered,Monthly_Payment,""), "")</f>
        <v>2207847.2070036912</v>
      </c>
      <c r="F173" s="394">
        <f>IFERROR(IF(Loan_Not_Paid*Values_Entered,Principal,""), "")</f>
        <v>729495.42828832252</v>
      </c>
      <c r="G173" s="394">
        <f>IFERROR(IF(Loan_Not_Paid*Values_Entered,Interest,""), "")</f>
        <v>1478351.7787153686</v>
      </c>
      <c r="H173" s="394">
        <f>IFERROR(IF(Loan_Not_Paid*Values_Entered,Ending_Balance,""), "")</f>
        <v>272196986.7960887</v>
      </c>
    </row>
    <row r="174" spans="2:8">
      <c r="B174" s="396">
        <f>IFERROR(IF(Loan_Not_Paid*Values_Entered,Payment_Number,""), "")</f>
        <v>157</v>
      </c>
      <c r="C174" s="395"/>
      <c r="D174" s="394">
        <f>IFERROR(IF(Loan_Not_Paid*Values_Entered,Beginning_Balance,""), "")</f>
        <v>272196986.7960887</v>
      </c>
      <c r="E174" s="394">
        <f>IFERROR(IF(Loan_Not_Paid*Values_Entered,Monthly_Payment,""), "")</f>
        <v>2207847.2070036912</v>
      </c>
      <c r="F174" s="394">
        <f>IFERROR(IF(Loan_Not_Paid*Values_Entered,Principal,""), "")</f>
        <v>733446.86185821763</v>
      </c>
      <c r="G174" s="394">
        <f>IFERROR(IF(Loan_Not_Paid*Values_Entered,Interest,""), "")</f>
        <v>1474400.3451454735</v>
      </c>
      <c r="H174" s="394">
        <f>IFERROR(IF(Loan_Not_Paid*Values_Entered,Ending_Balance,""), "")</f>
        <v>271463539.93423045</v>
      </c>
    </row>
    <row r="175" spans="2:8">
      <c r="B175" s="396">
        <f>IFERROR(IF(Loan_Not_Paid*Values_Entered,Payment_Number,""), "")</f>
        <v>158</v>
      </c>
      <c r="C175" s="395"/>
      <c r="D175" s="394">
        <f>IFERROR(IF(Loan_Not_Paid*Values_Entered,Beginning_Balance,""), "")</f>
        <v>271463539.93423045</v>
      </c>
      <c r="E175" s="394">
        <f>IFERROR(IF(Loan_Not_Paid*Values_Entered,Monthly_Payment,""), "")</f>
        <v>2207847.2070036912</v>
      </c>
      <c r="F175" s="394">
        <f>IFERROR(IF(Loan_Not_Paid*Values_Entered,Principal,""), "")</f>
        <v>737419.69902661652</v>
      </c>
      <c r="G175" s="394">
        <f>IFERROR(IF(Loan_Not_Paid*Values_Entered,Interest,""), "")</f>
        <v>1470427.5079770749</v>
      </c>
      <c r="H175" s="394">
        <f>IFERROR(IF(Loan_Not_Paid*Values_Entered,Ending_Balance,""), "")</f>
        <v>270726120.23520386</v>
      </c>
    </row>
    <row r="176" spans="2:8">
      <c r="B176" s="396">
        <f>IFERROR(IF(Loan_Not_Paid*Values_Entered,Payment_Number,""), "")</f>
        <v>159</v>
      </c>
      <c r="C176" s="395"/>
      <c r="D176" s="394">
        <f>IFERROR(IF(Loan_Not_Paid*Values_Entered,Beginning_Balance,""), "")</f>
        <v>270726120.23520386</v>
      </c>
      <c r="E176" s="394">
        <f>IFERROR(IF(Loan_Not_Paid*Values_Entered,Monthly_Payment,""), "")</f>
        <v>2207847.2070036912</v>
      </c>
      <c r="F176" s="394">
        <f>IFERROR(IF(Loan_Not_Paid*Values_Entered,Principal,""), "")</f>
        <v>741414.05572967732</v>
      </c>
      <c r="G176" s="394">
        <f>IFERROR(IF(Loan_Not_Paid*Values_Entered,Interest,""), "")</f>
        <v>1466433.1512740138</v>
      </c>
      <c r="H176" s="394">
        <f>IFERROR(IF(Loan_Not_Paid*Values_Entered,Ending_Balance,""), "")</f>
        <v>269984706.17947412</v>
      </c>
    </row>
    <row r="177" spans="2:8">
      <c r="B177" s="396">
        <f>IFERROR(IF(Loan_Not_Paid*Values_Entered,Payment_Number,""), "")</f>
        <v>160</v>
      </c>
      <c r="C177" s="395"/>
      <c r="D177" s="394">
        <f>IFERROR(IF(Loan_Not_Paid*Values_Entered,Beginning_Balance,""), "")</f>
        <v>269984706.17947412</v>
      </c>
      <c r="E177" s="394">
        <f>IFERROR(IF(Loan_Not_Paid*Values_Entered,Monthly_Payment,""), "")</f>
        <v>2207847.2070036912</v>
      </c>
      <c r="F177" s="394">
        <f>IFERROR(IF(Loan_Not_Paid*Values_Entered,Principal,""), "")</f>
        <v>745430.04853154637</v>
      </c>
      <c r="G177" s="394">
        <f>IFERROR(IF(Loan_Not_Paid*Values_Entered,Interest,""), "")</f>
        <v>1462417.1584721447</v>
      </c>
      <c r="H177" s="394">
        <f>IFERROR(IF(Loan_Not_Paid*Values_Entered,Ending_Balance,""), "")</f>
        <v>269239276.13094258</v>
      </c>
    </row>
    <row r="178" spans="2:8">
      <c r="B178" s="396">
        <f>IFERROR(IF(Loan_Not_Paid*Values_Entered,Payment_Number,""), "")</f>
        <v>161</v>
      </c>
      <c r="C178" s="395"/>
      <c r="D178" s="394">
        <f>IFERROR(IF(Loan_Not_Paid*Values_Entered,Beginning_Balance,""), "")</f>
        <v>269239276.13094258</v>
      </c>
      <c r="E178" s="394">
        <f>IFERROR(IF(Loan_Not_Paid*Values_Entered,Monthly_Payment,""), "")</f>
        <v>2207847.2070036912</v>
      </c>
      <c r="F178" s="394">
        <f>IFERROR(IF(Loan_Not_Paid*Values_Entered,Principal,""), "")</f>
        <v>749467.79462775891</v>
      </c>
      <c r="G178" s="394">
        <f>IFERROR(IF(Loan_Not_Paid*Values_Entered,Interest,""), "")</f>
        <v>1458379.4123759323</v>
      </c>
      <c r="H178" s="394">
        <f>IFERROR(IF(Loan_Not_Paid*Values_Entered,Ending_Balance,""), "")</f>
        <v>268489808.33631492</v>
      </c>
    </row>
    <row r="179" spans="2:8">
      <c r="B179" s="396">
        <f>IFERROR(IF(Loan_Not_Paid*Values_Entered,Payment_Number,""), "")</f>
        <v>162</v>
      </c>
      <c r="C179" s="395"/>
      <c r="D179" s="394">
        <f>IFERROR(IF(Loan_Not_Paid*Values_Entered,Beginning_Balance,""), "")</f>
        <v>268489808.33631492</v>
      </c>
      <c r="E179" s="394">
        <f>IFERROR(IF(Loan_Not_Paid*Values_Entered,Monthly_Payment,""), "")</f>
        <v>2207847.2070036912</v>
      </c>
      <c r="F179" s="394">
        <f>IFERROR(IF(Loan_Not_Paid*Values_Entered,Principal,""), "")</f>
        <v>753527.41184865928</v>
      </c>
      <c r="G179" s="394">
        <f>IFERROR(IF(Loan_Not_Paid*Values_Entered,Interest,""), "")</f>
        <v>1454319.7951550318</v>
      </c>
      <c r="H179" s="394">
        <f>IFERROR(IF(Loan_Not_Paid*Values_Entered,Ending_Balance,""), "")</f>
        <v>267736280.92446613</v>
      </c>
    </row>
    <row r="180" spans="2:8">
      <c r="B180" s="396">
        <f>IFERROR(IF(Loan_Not_Paid*Values_Entered,Payment_Number,""), "")</f>
        <v>163</v>
      </c>
      <c r="C180" s="395"/>
      <c r="D180" s="394">
        <f>IFERROR(IF(Loan_Not_Paid*Values_Entered,Beginning_Balance,""), "")</f>
        <v>267736280.92446613</v>
      </c>
      <c r="E180" s="394">
        <f>IFERROR(IF(Loan_Not_Paid*Values_Entered,Monthly_Payment,""), "")</f>
        <v>2207847.2070036912</v>
      </c>
      <c r="F180" s="394">
        <f>IFERROR(IF(Loan_Not_Paid*Values_Entered,Principal,""), "")</f>
        <v>757609.01866283955</v>
      </c>
      <c r="G180" s="394">
        <f>IFERROR(IF(Loan_Not_Paid*Values_Entered,Interest,""), "")</f>
        <v>1450238.1883408518</v>
      </c>
      <c r="H180" s="394">
        <f>IFERROR(IF(Loan_Not_Paid*Values_Entered,Ending_Balance,""), "")</f>
        <v>266978671.90580332</v>
      </c>
    </row>
    <row r="181" spans="2:8">
      <c r="B181" s="396">
        <f>IFERROR(IF(Loan_Not_Paid*Values_Entered,Payment_Number,""), "")</f>
        <v>164</v>
      </c>
      <c r="C181" s="395"/>
      <c r="D181" s="394">
        <f>IFERROR(IF(Loan_Not_Paid*Values_Entered,Beginning_Balance,""), "")</f>
        <v>266978671.90580332</v>
      </c>
      <c r="E181" s="394">
        <f>IFERROR(IF(Loan_Not_Paid*Values_Entered,Monthly_Payment,""), "")</f>
        <v>2207847.2070036912</v>
      </c>
      <c r="F181" s="394">
        <f>IFERROR(IF(Loan_Not_Paid*Values_Entered,Principal,""), "")</f>
        <v>761712.73418059666</v>
      </c>
      <c r="G181" s="394">
        <f>IFERROR(IF(Loan_Not_Paid*Values_Entered,Interest,""), "")</f>
        <v>1446134.4728230948</v>
      </c>
      <c r="H181" s="394">
        <f>IFERROR(IF(Loan_Not_Paid*Values_Entered,Ending_Balance,""), "")</f>
        <v>266216959.17162275</v>
      </c>
    </row>
    <row r="182" spans="2:8">
      <c r="B182" s="396">
        <f>IFERROR(IF(Loan_Not_Paid*Values_Entered,Payment_Number,""), "")</f>
        <v>165</v>
      </c>
      <c r="C182" s="395"/>
      <c r="D182" s="394">
        <f>IFERROR(IF(Loan_Not_Paid*Values_Entered,Beginning_Balance,""), "")</f>
        <v>266216959.17162275</v>
      </c>
      <c r="E182" s="394">
        <f>IFERROR(IF(Loan_Not_Paid*Values_Entered,Monthly_Payment,""), "")</f>
        <v>2207847.2070036912</v>
      </c>
      <c r="F182" s="394">
        <f>IFERROR(IF(Loan_Not_Paid*Values_Entered,Principal,""), "")</f>
        <v>765838.67815740826</v>
      </c>
      <c r="G182" s="394">
        <f>IFERROR(IF(Loan_Not_Paid*Values_Entered,Interest,""), "")</f>
        <v>1442008.528846283</v>
      </c>
      <c r="H182" s="394">
        <f>IFERROR(IF(Loan_Not_Paid*Values_Entered,Ending_Balance,""), "")</f>
        <v>265451120.49346542</v>
      </c>
    </row>
    <row r="183" spans="2:8">
      <c r="B183" s="396">
        <f>IFERROR(IF(Loan_Not_Paid*Values_Entered,Payment_Number,""), "")</f>
        <v>166</v>
      </c>
      <c r="C183" s="395"/>
      <c r="D183" s="394">
        <f>IFERROR(IF(Loan_Not_Paid*Values_Entered,Beginning_Balance,""), "")</f>
        <v>265451120.49346542</v>
      </c>
      <c r="E183" s="394">
        <f>IFERROR(IF(Loan_Not_Paid*Values_Entered,Monthly_Payment,""), "")</f>
        <v>2207847.2070036912</v>
      </c>
      <c r="F183" s="394">
        <f>IFERROR(IF(Loan_Not_Paid*Values_Entered,Principal,""), "")</f>
        <v>769986.97099742736</v>
      </c>
      <c r="G183" s="394">
        <f>IFERROR(IF(Loan_Not_Paid*Values_Entered,Interest,""), "")</f>
        <v>1437860.2360062639</v>
      </c>
      <c r="H183" s="394">
        <f>IFERROR(IF(Loan_Not_Paid*Values_Entered,Ending_Balance,""), "")</f>
        <v>264681133.52246797</v>
      </c>
    </row>
    <row r="184" spans="2:8">
      <c r="B184" s="396">
        <f>IFERROR(IF(Loan_Not_Paid*Values_Entered,Payment_Number,""), "")</f>
        <v>167</v>
      </c>
      <c r="C184" s="395"/>
      <c r="D184" s="394">
        <f>IFERROR(IF(Loan_Not_Paid*Values_Entered,Beginning_Balance,""), "")</f>
        <v>264681133.52246797</v>
      </c>
      <c r="E184" s="394">
        <f>IFERROR(IF(Loan_Not_Paid*Values_Entered,Monthly_Payment,""), "")</f>
        <v>2207847.2070036912</v>
      </c>
      <c r="F184" s="394">
        <f>IFERROR(IF(Loan_Not_Paid*Values_Entered,Principal,""), "")</f>
        <v>774157.73375699681</v>
      </c>
      <c r="G184" s="394">
        <f>IFERROR(IF(Loan_Not_Paid*Values_Entered,Interest,""), "")</f>
        <v>1433689.4732466945</v>
      </c>
      <c r="H184" s="394">
        <f>IFERROR(IF(Loan_Not_Paid*Values_Entered,Ending_Balance,""), "")</f>
        <v>263906975.78871107</v>
      </c>
    </row>
    <row r="185" spans="2:8">
      <c r="B185" s="396">
        <f>IFERROR(IF(Loan_Not_Paid*Values_Entered,Payment_Number,""), "")</f>
        <v>168</v>
      </c>
      <c r="C185" s="395"/>
      <c r="D185" s="394">
        <f>IFERROR(IF(Loan_Not_Paid*Values_Entered,Beginning_Balance,""), "")</f>
        <v>263906975.78871107</v>
      </c>
      <c r="E185" s="394">
        <f>IFERROR(IF(Loan_Not_Paid*Values_Entered,Monthly_Payment,""), "")</f>
        <v>2207847.2070036912</v>
      </c>
      <c r="F185" s="394">
        <f>IFERROR(IF(Loan_Not_Paid*Values_Entered,Principal,""), "")</f>
        <v>778351.08814818051</v>
      </c>
      <c r="G185" s="394">
        <f>IFERROR(IF(Loan_Not_Paid*Values_Entered,Interest,""), "")</f>
        <v>1429496.1188555108</v>
      </c>
      <c r="H185" s="394">
        <f>IFERROR(IF(Loan_Not_Paid*Values_Entered,Ending_Balance,""), "")</f>
        <v>263128624.70056283</v>
      </c>
    </row>
    <row r="186" spans="2:8">
      <c r="B186" s="396">
        <f>IFERROR(IF(Loan_Not_Paid*Values_Entered,Payment_Number,""), "")</f>
        <v>169</v>
      </c>
      <c r="C186" s="395"/>
      <c r="D186" s="394">
        <f>IFERROR(IF(Loan_Not_Paid*Values_Entered,Beginning_Balance,""), "")</f>
        <v>263128624.70056283</v>
      </c>
      <c r="E186" s="394">
        <f>IFERROR(IF(Loan_Not_Paid*Values_Entered,Monthly_Payment,""), "")</f>
        <v>2207847.2070036912</v>
      </c>
      <c r="F186" s="394">
        <f>IFERROR(IF(Loan_Not_Paid*Values_Entered,Principal,""), "")</f>
        <v>782567.15654231654</v>
      </c>
      <c r="G186" s="394">
        <f>IFERROR(IF(Loan_Not_Paid*Values_Entered,Interest,""), "")</f>
        <v>1425280.0504613745</v>
      </c>
      <c r="H186" s="394">
        <f>IFERROR(IF(Loan_Not_Paid*Values_Entered,Ending_Balance,""), "")</f>
        <v>262346057.54402065</v>
      </c>
    </row>
    <row r="187" spans="2:8">
      <c r="B187" s="396">
        <f>IFERROR(IF(Loan_Not_Paid*Values_Entered,Payment_Number,""), "")</f>
        <v>170</v>
      </c>
      <c r="C187" s="395"/>
      <c r="D187" s="394">
        <f>IFERROR(IF(Loan_Not_Paid*Values_Entered,Beginning_Balance,""), "")</f>
        <v>262346057.54402065</v>
      </c>
      <c r="E187" s="394">
        <f>IFERROR(IF(Loan_Not_Paid*Values_Entered,Monthly_Payment,""), "")</f>
        <v>2207847.2070036912</v>
      </c>
      <c r="F187" s="394">
        <f>IFERROR(IF(Loan_Not_Paid*Values_Entered,Principal,""), "")</f>
        <v>786806.06197358749</v>
      </c>
      <c r="G187" s="394">
        <f>IFERROR(IF(Loan_Not_Paid*Values_Entered,Interest,""), "")</f>
        <v>1421041.1450301036</v>
      </c>
      <c r="H187" s="394">
        <f>IFERROR(IF(Loan_Not_Paid*Values_Entered,Ending_Balance,""), "")</f>
        <v>261559251.48204684</v>
      </c>
    </row>
    <row r="188" spans="2:8">
      <c r="B188" s="396">
        <f>IFERROR(IF(Loan_Not_Paid*Values_Entered,Payment_Number,""), "")</f>
        <v>171</v>
      </c>
      <c r="C188" s="395"/>
      <c r="D188" s="394">
        <f>IFERROR(IF(Loan_Not_Paid*Values_Entered,Beginning_Balance,""), "")</f>
        <v>261559251.48204684</v>
      </c>
      <c r="E188" s="394">
        <f>IFERROR(IF(Loan_Not_Paid*Values_Entered,Monthly_Payment,""), "")</f>
        <v>2207847.2070036912</v>
      </c>
      <c r="F188" s="394">
        <f>IFERROR(IF(Loan_Not_Paid*Values_Entered,Principal,""), "")</f>
        <v>791067.92814261105</v>
      </c>
      <c r="G188" s="394">
        <f>IFERROR(IF(Loan_Not_Paid*Values_Entered,Interest,""), "")</f>
        <v>1416779.2788610803</v>
      </c>
      <c r="H188" s="394">
        <f>IFERROR(IF(Loan_Not_Paid*Values_Entered,Ending_Balance,""), "")</f>
        <v>260768183.55390429</v>
      </c>
    </row>
    <row r="189" spans="2:8">
      <c r="B189" s="396">
        <f>IFERROR(IF(Loan_Not_Paid*Values_Entered,Payment_Number,""), "")</f>
        <v>172</v>
      </c>
      <c r="C189" s="395"/>
      <c r="D189" s="394">
        <f>IFERROR(IF(Loan_Not_Paid*Values_Entered,Beginning_Balance,""), "")</f>
        <v>260768183.55390429</v>
      </c>
      <c r="E189" s="394">
        <f>IFERROR(IF(Loan_Not_Paid*Values_Entered,Monthly_Payment,""), "")</f>
        <v>2207847.2070036912</v>
      </c>
      <c r="F189" s="394">
        <f>IFERROR(IF(Loan_Not_Paid*Values_Entered,Principal,""), "")</f>
        <v>795352.87942005019</v>
      </c>
      <c r="G189" s="394">
        <f>IFERROR(IF(Loan_Not_Paid*Values_Entered,Interest,""), "")</f>
        <v>1412494.3275836408</v>
      </c>
      <c r="H189" s="394">
        <f>IFERROR(IF(Loan_Not_Paid*Values_Entered,Ending_Balance,""), "")</f>
        <v>259972830.67448425</v>
      </c>
    </row>
    <row r="190" spans="2:8">
      <c r="B190" s="396">
        <f>IFERROR(IF(Loan_Not_Paid*Values_Entered,Payment_Number,""), "")</f>
        <v>173</v>
      </c>
      <c r="C190" s="395"/>
      <c r="D190" s="394">
        <f>IFERROR(IF(Loan_Not_Paid*Values_Entered,Beginning_Balance,""), "")</f>
        <v>259972830.67448425</v>
      </c>
      <c r="E190" s="394">
        <f>IFERROR(IF(Loan_Not_Paid*Values_Entered,Monthly_Payment,""), "")</f>
        <v>2207847.2070036912</v>
      </c>
      <c r="F190" s="394">
        <f>IFERROR(IF(Loan_Not_Paid*Values_Entered,Principal,""), "")</f>
        <v>799661.04085024225</v>
      </c>
      <c r="G190" s="394">
        <f>IFERROR(IF(Loan_Not_Paid*Values_Entered,Interest,""), "")</f>
        <v>1408186.1661534491</v>
      </c>
      <c r="H190" s="394">
        <f>IFERROR(IF(Loan_Not_Paid*Values_Entered,Ending_Balance,""), "")</f>
        <v>259173169.63363409</v>
      </c>
    </row>
    <row r="191" spans="2:8">
      <c r="B191" s="396">
        <f>IFERROR(IF(Loan_Not_Paid*Values_Entered,Payment_Number,""), "")</f>
        <v>174</v>
      </c>
      <c r="C191" s="395"/>
      <c r="D191" s="394">
        <f>IFERROR(IF(Loan_Not_Paid*Values_Entered,Beginning_Balance,""), "")</f>
        <v>259173169.63363409</v>
      </c>
      <c r="E191" s="394">
        <f>IFERROR(IF(Loan_Not_Paid*Values_Entered,Monthly_Payment,""), "")</f>
        <v>2207847.2070036912</v>
      </c>
      <c r="F191" s="394">
        <f>IFERROR(IF(Loan_Not_Paid*Values_Entered,Principal,""), "")</f>
        <v>803992.53815484757</v>
      </c>
      <c r="G191" s="394">
        <f>IFERROR(IF(Loan_Not_Paid*Values_Entered,Interest,""), "")</f>
        <v>1403854.6688488435</v>
      </c>
      <c r="H191" s="394">
        <f>IFERROR(IF(Loan_Not_Paid*Values_Entered,Ending_Balance,""), "")</f>
        <v>258369177.09547925</v>
      </c>
    </row>
    <row r="192" spans="2:8">
      <c r="B192" s="396">
        <f>IFERROR(IF(Loan_Not_Paid*Values_Entered,Payment_Number,""), "")</f>
        <v>175</v>
      </c>
      <c r="C192" s="395"/>
      <c r="D192" s="394">
        <f>IFERROR(IF(Loan_Not_Paid*Values_Entered,Beginning_Balance,""), "")</f>
        <v>258369177.09547925</v>
      </c>
      <c r="E192" s="394">
        <f>IFERROR(IF(Loan_Not_Paid*Values_Entered,Monthly_Payment,""), "")</f>
        <v>2207847.2070036912</v>
      </c>
      <c r="F192" s="394">
        <f>IFERROR(IF(Loan_Not_Paid*Values_Entered,Principal,""), "")</f>
        <v>808347.49773651978</v>
      </c>
      <c r="G192" s="394">
        <f>IFERROR(IF(Loan_Not_Paid*Values_Entered,Interest,""), "")</f>
        <v>1399499.7092671713</v>
      </c>
      <c r="H192" s="394">
        <f>IFERROR(IF(Loan_Not_Paid*Values_Entered,Ending_Balance,""), "")</f>
        <v>257560829.5977428</v>
      </c>
    </row>
    <row r="193" spans="2:8">
      <c r="B193" s="396">
        <f>IFERROR(IF(Loan_Not_Paid*Values_Entered,Payment_Number,""), "")</f>
        <v>176</v>
      </c>
      <c r="C193" s="395"/>
      <c r="D193" s="394">
        <f>IFERROR(IF(Loan_Not_Paid*Values_Entered,Beginning_Balance,""), "")</f>
        <v>257560829.5977428</v>
      </c>
      <c r="E193" s="394">
        <f>IFERROR(IF(Loan_Not_Paid*Values_Entered,Monthly_Payment,""), "")</f>
        <v>2207847.2070036912</v>
      </c>
      <c r="F193" s="394">
        <f>IFERROR(IF(Loan_Not_Paid*Values_Entered,Principal,""), "")</f>
        <v>812726.0466825926</v>
      </c>
      <c r="G193" s="394">
        <f>IFERROR(IF(Loan_Not_Paid*Values_Entered,Interest,""), "")</f>
        <v>1395121.1603210985</v>
      </c>
      <c r="H193" s="394">
        <f>IFERROR(IF(Loan_Not_Paid*Values_Entered,Ending_Balance,""), "")</f>
        <v>256748103.55106032</v>
      </c>
    </row>
    <row r="194" spans="2:8">
      <c r="B194" s="396">
        <f>IFERROR(IF(Loan_Not_Paid*Values_Entered,Payment_Number,""), "")</f>
        <v>177</v>
      </c>
      <c r="C194" s="395"/>
      <c r="D194" s="394">
        <f>IFERROR(IF(Loan_Not_Paid*Values_Entered,Beginning_Balance,""), "")</f>
        <v>256748103.55106032</v>
      </c>
      <c r="E194" s="394">
        <f>IFERROR(IF(Loan_Not_Paid*Values_Entered,Monthly_Payment,""), "")</f>
        <v>2207847.2070036912</v>
      </c>
      <c r="F194" s="394">
        <f>IFERROR(IF(Loan_Not_Paid*Values_Entered,Principal,""), "")</f>
        <v>817128.31276878982</v>
      </c>
      <c r="G194" s="394">
        <f>IFERROR(IF(Loan_Not_Paid*Values_Entered,Interest,""), "")</f>
        <v>1390718.8942349013</v>
      </c>
      <c r="H194" s="394">
        <f>IFERROR(IF(Loan_Not_Paid*Values_Entered,Ending_Balance,""), "")</f>
        <v>255930975.2382915</v>
      </c>
    </row>
    <row r="195" spans="2:8">
      <c r="B195" s="396">
        <f>IFERROR(IF(Loan_Not_Paid*Values_Entered,Payment_Number,""), "")</f>
        <v>178</v>
      </c>
      <c r="C195" s="395"/>
      <c r="D195" s="394">
        <f>IFERROR(IF(Loan_Not_Paid*Values_Entered,Beginning_Balance,""), "")</f>
        <v>255930975.2382915</v>
      </c>
      <c r="E195" s="394">
        <f>IFERROR(IF(Loan_Not_Paid*Values_Entered,Monthly_Payment,""), "")</f>
        <v>2207847.2070036912</v>
      </c>
      <c r="F195" s="394">
        <f>IFERROR(IF(Loan_Not_Paid*Values_Entered,Principal,""), "")</f>
        <v>821554.42446295428</v>
      </c>
      <c r="G195" s="394">
        <f>IFERROR(IF(Loan_Not_Paid*Values_Entered,Interest,""), "")</f>
        <v>1386292.7825407372</v>
      </c>
      <c r="H195" s="394">
        <f>IFERROR(IF(Loan_Not_Paid*Values_Entered,Ending_Balance,""), "")</f>
        <v>255109420.81382847</v>
      </c>
    </row>
    <row r="196" spans="2:8">
      <c r="B196" s="396">
        <f>IFERROR(IF(Loan_Not_Paid*Values_Entered,Payment_Number,""), "")</f>
        <v>179</v>
      </c>
      <c r="C196" s="395"/>
      <c r="D196" s="394">
        <f>IFERROR(IF(Loan_Not_Paid*Values_Entered,Beginning_Balance,""), "")</f>
        <v>255109420.81382847</v>
      </c>
      <c r="E196" s="394">
        <f>IFERROR(IF(Loan_Not_Paid*Values_Entered,Monthly_Payment,""), "")</f>
        <v>2207847.2070036912</v>
      </c>
      <c r="F196" s="394">
        <f>IFERROR(IF(Loan_Not_Paid*Values_Entered,Principal,""), "")</f>
        <v>826004.51092879509</v>
      </c>
      <c r="G196" s="394">
        <f>IFERROR(IF(Loan_Not_Paid*Values_Entered,Interest,""), "")</f>
        <v>1381842.6960748963</v>
      </c>
      <c r="H196" s="394">
        <f>IFERROR(IF(Loan_Not_Paid*Values_Entered,Ending_Balance,""), "")</f>
        <v>254283416.30289972</v>
      </c>
    </row>
    <row r="197" spans="2:8">
      <c r="B197" s="396">
        <f>IFERROR(IF(Loan_Not_Paid*Values_Entered,Payment_Number,""), "")</f>
        <v>180</v>
      </c>
      <c r="C197" s="395"/>
      <c r="D197" s="394">
        <f>IFERROR(IF(Loan_Not_Paid*Values_Entered,Beginning_Balance,""), "")</f>
        <v>254283416.30289972</v>
      </c>
      <c r="E197" s="394">
        <f>IFERROR(IF(Loan_Not_Paid*Values_Entered,Monthly_Payment,""), "")</f>
        <v>2207847.2070036912</v>
      </c>
      <c r="F197" s="394">
        <f>IFERROR(IF(Loan_Not_Paid*Values_Entered,Principal,""), "")</f>
        <v>830478.70202965965</v>
      </c>
      <c r="G197" s="394">
        <f>IFERROR(IF(Loan_Not_Paid*Values_Entered,Interest,""), "")</f>
        <v>1377368.5049740316</v>
      </c>
      <c r="H197" s="394">
        <f>IFERROR(IF(Loan_Not_Paid*Values_Entered,Ending_Balance,""), "")</f>
        <v>253452937.60087013</v>
      </c>
    </row>
    <row r="198" spans="2:8">
      <c r="B198" s="396">
        <f>IFERROR(IF(Loan_Not_Paid*Values_Entered,Payment_Number,""), "")</f>
        <v>181</v>
      </c>
      <c r="C198" s="395"/>
      <c r="D198" s="394">
        <f>IFERROR(IF(Loan_Not_Paid*Values_Entered,Beginning_Balance,""), "")</f>
        <v>253452937.60087013</v>
      </c>
      <c r="E198" s="394">
        <f>IFERROR(IF(Loan_Not_Paid*Values_Entered,Monthly_Payment,""), "")</f>
        <v>2207847.2070036912</v>
      </c>
      <c r="F198" s="394">
        <f>IFERROR(IF(Loan_Not_Paid*Values_Entered,Principal,""), "")</f>
        <v>834977.12833232014</v>
      </c>
      <c r="G198" s="394">
        <f>IFERROR(IF(Loan_Not_Paid*Values_Entered,Interest,""), "")</f>
        <v>1372870.0786713709</v>
      </c>
      <c r="H198" s="394">
        <f>IFERROR(IF(Loan_Not_Paid*Values_Entered,Ending_Balance,""), "")</f>
        <v>252617960.47253776</v>
      </c>
    </row>
    <row r="199" spans="2:8">
      <c r="B199" s="396">
        <f>IFERROR(IF(Loan_Not_Paid*Values_Entered,Payment_Number,""), "")</f>
        <v>182</v>
      </c>
      <c r="C199" s="395"/>
      <c r="D199" s="394">
        <f>IFERROR(IF(Loan_Not_Paid*Values_Entered,Beginning_Balance,""), "")</f>
        <v>252617960.47253776</v>
      </c>
      <c r="E199" s="394">
        <f>IFERROR(IF(Loan_Not_Paid*Values_Entered,Monthly_Payment,""), "")</f>
        <v>2207847.2070036912</v>
      </c>
      <c r="F199" s="394">
        <f>IFERROR(IF(Loan_Not_Paid*Values_Entered,Principal,""), "")</f>
        <v>839499.92111078685</v>
      </c>
      <c r="G199" s="394">
        <f>IFERROR(IF(Loan_Not_Paid*Values_Entered,Interest,""), "")</f>
        <v>1368347.2858929043</v>
      </c>
      <c r="H199" s="394">
        <f>IFERROR(IF(Loan_Not_Paid*Values_Entered,Ending_Balance,""), "")</f>
        <v>251778460.55142713</v>
      </c>
    </row>
    <row r="200" spans="2:8">
      <c r="B200" s="396">
        <f>IFERROR(IF(Loan_Not_Paid*Values_Entered,Payment_Number,""), "")</f>
        <v>183</v>
      </c>
      <c r="C200" s="395"/>
      <c r="D200" s="394">
        <f>IFERROR(IF(Loan_Not_Paid*Values_Entered,Beginning_Balance,""), "")</f>
        <v>251778460.55142713</v>
      </c>
      <c r="E200" s="394">
        <f>IFERROR(IF(Loan_Not_Paid*Values_Entered,Monthly_Payment,""), "")</f>
        <v>2207847.2070036912</v>
      </c>
      <c r="F200" s="394">
        <f>IFERROR(IF(Loan_Not_Paid*Values_Entered,Principal,""), "")</f>
        <v>844047.21235013695</v>
      </c>
      <c r="G200" s="394">
        <f>IFERROR(IF(Loan_Not_Paid*Values_Entered,Interest,""), "")</f>
        <v>1363799.9946535539</v>
      </c>
      <c r="H200" s="394">
        <f>IFERROR(IF(Loan_Not_Paid*Values_Entered,Ending_Balance,""), "")</f>
        <v>250934413.33907688</v>
      </c>
    </row>
    <row r="201" spans="2:8">
      <c r="B201" s="396">
        <f>IFERROR(IF(Loan_Not_Paid*Values_Entered,Payment_Number,""), "")</f>
        <v>184</v>
      </c>
      <c r="C201" s="395"/>
      <c r="D201" s="394">
        <f>IFERROR(IF(Loan_Not_Paid*Values_Entered,Beginning_Balance,""), "")</f>
        <v>250934413.33907688</v>
      </c>
      <c r="E201" s="394">
        <f>IFERROR(IF(Loan_Not_Paid*Values_Entered,Monthly_Payment,""), "")</f>
        <v>2207847.2070036912</v>
      </c>
      <c r="F201" s="394">
        <f>IFERROR(IF(Loan_Not_Paid*Values_Entered,Principal,""), "")</f>
        <v>848619.13475036679</v>
      </c>
      <c r="G201" s="394">
        <f>IFERROR(IF(Loan_Not_Paid*Values_Entered,Interest,""), "")</f>
        <v>1359228.0722533239</v>
      </c>
      <c r="H201" s="394">
        <f>IFERROR(IF(Loan_Not_Paid*Values_Entered,Ending_Balance,""), "")</f>
        <v>250085794.20432663</v>
      </c>
    </row>
    <row r="202" spans="2:8">
      <c r="B202" s="396">
        <f>IFERROR(IF(Loan_Not_Paid*Values_Entered,Payment_Number,""), "")</f>
        <v>185</v>
      </c>
      <c r="C202" s="395"/>
      <c r="D202" s="394">
        <f>IFERROR(IF(Loan_Not_Paid*Values_Entered,Beginning_Balance,""), "")</f>
        <v>250085794.20432663</v>
      </c>
      <c r="E202" s="394">
        <f>IFERROR(IF(Loan_Not_Paid*Values_Entered,Monthly_Payment,""), "")</f>
        <v>2207847.2070036912</v>
      </c>
      <c r="F202" s="394">
        <f>IFERROR(IF(Loan_Not_Paid*Values_Entered,Principal,""), "")</f>
        <v>853215.82173026481</v>
      </c>
      <c r="G202" s="394">
        <f>IFERROR(IF(Loan_Not_Paid*Values_Entered,Interest,""), "")</f>
        <v>1354631.3852734263</v>
      </c>
      <c r="H202" s="394">
        <f>IFERROR(IF(Loan_Not_Paid*Values_Entered,Ending_Balance,""), "")</f>
        <v>249232578.38259625</v>
      </c>
    </row>
    <row r="203" spans="2:8">
      <c r="B203" s="396">
        <f>IFERROR(IF(Loan_Not_Paid*Values_Entered,Payment_Number,""), "")</f>
        <v>186</v>
      </c>
      <c r="C203" s="395"/>
      <c r="D203" s="394">
        <f>IFERROR(IF(Loan_Not_Paid*Values_Entered,Beginning_Balance,""), "")</f>
        <v>249232578.38259625</v>
      </c>
      <c r="E203" s="394">
        <f>IFERROR(IF(Loan_Not_Paid*Values_Entered,Monthly_Payment,""), "")</f>
        <v>2207847.2070036912</v>
      </c>
      <c r="F203" s="394">
        <f>IFERROR(IF(Loan_Not_Paid*Values_Entered,Principal,""), "")</f>
        <v>857837.40743130364</v>
      </c>
      <c r="G203" s="394">
        <f>IFERROR(IF(Loan_Not_Paid*Values_Entered,Interest,""), "")</f>
        <v>1350009.7995723875</v>
      </c>
      <c r="H203" s="394">
        <f>IFERROR(IF(Loan_Not_Paid*Values_Entered,Ending_Balance,""), "")</f>
        <v>248374740.97516501</v>
      </c>
    </row>
    <row r="204" spans="2:8">
      <c r="B204" s="396">
        <f>IFERROR(IF(Loan_Not_Paid*Values_Entered,Payment_Number,""), "")</f>
        <v>187</v>
      </c>
      <c r="C204" s="395"/>
      <c r="D204" s="394">
        <f>IFERROR(IF(Loan_Not_Paid*Values_Entered,Beginning_Balance,""), "")</f>
        <v>248374740.97516501</v>
      </c>
      <c r="E204" s="394">
        <f>IFERROR(IF(Loan_Not_Paid*Values_Entered,Monthly_Payment,""), "")</f>
        <v>2207847.2070036912</v>
      </c>
      <c r="F204" s="394">
        <f>IFERROR(IF(Loan_Not_Paid*Values_Entered,Principal,""), "")</f>
        <v>862484.02672155644</v>
      </c>
      <c r="G204" s="394">
        <f>IFERROR(IF(Loan_Not_Paid*Values_Entered,Interest,""), "")</f>
        <v>1345363.1802821348</v>
      </c>
      <c r="H204" s="394">
        <f>IFERROR(IF(Loan_Not_Paid*Values_Entered,Ending_Balance,""), "")</f>
        <v>247512256.94844341</v>
      </c>
    </row>
    <row r="205" spans="2:8">
      <c r="B205" s="396">
        <f>IFERROR(IF(Loan_Not_Paid*Values_Entered,Payment_Number,""), "")</f>
        <v>188</v>
      </c>
      <c r="C205" s="395"/>
      <c r="D205" s="394">
        <f>IFERROR(IF(Loan_Not_Paid*Values_Entered,Beginning_Balance,""), "")</f>
        <v>247512256.94844341</v>
      </c>
      <c r="E205" s="394">
        <f>IFERROR(IF(Loan_Not_Paid*Values_Entered,Monthly_Payment,""), "")</f>
        <v>2207847.2070036912</v>
      </c>
      <c r="F205" s="394">
        <f>IFERROR(IF(Loan_Not_Paid*Values_Entered,Principal,""), "")</f>
        <v>867155.81519963162</v>
      </c>
      <c r="G205" s="394">
        <f>IFERROR(IF(Loan_Not_Paid*Values_Entered,Interest,""), "")</f>
        <v>1340691.3918040597</v>
      </c>
      <c r="H205" s="394">
        <f>IFERROR(IF(Loan_Not_Paid*Values_Entered,Ending_Balance,""), "")</f>
        <v>246645101.1332438</v>
      </c>
    </row>
    <row r="206" spans="2:8">
      <c r="B206" s="396">
        <f>IFERROR(IF(Loan_Not_Paid*Values_Entered,Payment_Number,""), "")</f>
        <v>189</v>
      </c>
      <c r="C206" s="395"/>
      <c r="D206" s="394">
        <f>IFERROR(IF(Loan_Not_Paid*Values_Entered,Beginning_Balance,""), "")</f>
        <v>246645101.1332438</v>
      </c>
      <c r="E206" s="394">
        <f>IFERROR(IF(Loan_Not_Paid*Values_Entered,Monthly_Payment,""), "")</f>
        <v>2207847.2070036912</v>
      </c>
      <c r="F206" s="394">
        <f>IFERROR(IF(Loan_Not_Paid*Values_Entered,Principal,""), "")</f>
        <v>871852.90919862967</v>
      </c>
      <c r="G206" s="394">
        <f>IFERROR(IF(Loan_Not_Paid*Values_Entered,Interest,""), "")</f>
        <v>1335994.2978050616</v>
      </c>
      <c r="H206" s="394">
        <f>IFERROR(IF(Loan_Not_Paid*Values_Entered,Ending_Balance,""), "")</f>
        <v>245773248.2240454</v>
      </c>
    </row>
    <row r="207" spans="2:8">
      <c r="B207" s="396">
        <f>IFERROR(IF(Loan_Not_Paid*Values_Entered,Payment_Number,""), "")</f>
        <v>190</v>
      </c>
      <c r="C207" s="395"/>
      <c r="D207" s="394">
        <f>IFERROR(IF(Loan_Not_Paid*Values_Entered,Beginning_Balance,""), "")</f>
        <v>245773248.2240454</v>
      </c>
      <c r="E207" s="394">
        <f>IFERROR(IF(Loan_Not_Paid*Values_Entered,Monthly_Payment,""), "")</f>
        <v>2207847.2070036912</v>
      </c>
      <c r="F207" s="394">
        <f>IFERROR(IF(Loan_Not_Paid*Values_Entered,Principal,""), "")</f>
        <v>876575.44579012226</v>
      </c>
      <c r="G207" s="394">
        <f>IFERROR(IF(Loan_Not_Paid*Values_Entered,Interest,""), "")</f>
        <v>1331271.7612135692</v>
      </c>
      <c r="H207" s="394">
        <f>IFERROR(IF(Loan_Not_Paid*Values_Entered,Ending_Balance,""), "")</f>
        <v>244896672.77825522</v>
      </c>
    </row>
    <row r="208" spans="2:8">
      <c r="B208" s="396">
        <f>IFERROR(IF(Loan_Not_Paid*Values_Entered,Payment_Number,""), "")</f>
        <v>191</v>
      </c>
      <c r="C208" s="395"/>
      <c r="D208" s="394">
        <f>IFERROR(IF(Loan_Not_Paid*Values_Entered,Beginning_Balance,""), "")</f>
        <v>244896672.77825522</v>
      </c>
      <c r="E208" s="394">
        <f>IFERROR(IF(Loan_Not_Paid*Values_Entered,Monthly_Payment,""), "")</f>
        <v>2207847.2070036912</v>
      </c>
      <c r="F208" s="394">
        <f>IFERROR(IF(Loan_Not_Paid*Values_Entered,Principal,""), "")</f>
        <v>881323.56278815202</v>
      </c>
      <c r="G208" s="394">
        <f>IFERROR(IF(Loan_Not_Paid*Values_Entered,Interest,""), "")</f>
        <v>1326523.6442155391</v>
      </c>
      <c r="H208" s="394">
        <f>IFERROR(IF(Loan_Not_Paid*Values_Entered,Ending_Balance,""), "")</f>
        <v>244015349.21546698</v>
      </c>
    </row>
    <row r="209" spans="2:8">
      <c r="B209" s="396">
        <f>IFERROR(IF(Loan_Not_Paid*Values_Entered,Payment_Number,""), "")</f>
        <v>192</v>
      </c>
      <c r="C209" s="395"/>
      <c r="D209" s="394">
        <f>IFERROR(IF(Loan_Not_Paid*Values_Entered,Beginning_Balance,""), "")</f>
        <v>244015349.21546698</v>
      </c>
      <c r="E209" s="394">
        <f>IFERROR(IF(Loan_Not_Paid*Values_Entered,Monthly_Payment,""), "")</f>
        <v>2207847.2070036912</v>
      </c>
      <c r="F209" s="394">
        <f>IFERROR(IF(Loan_Not_Paid*Values_Entered,Principal,""), "")</f>
        <v>886097.39875325456</v>
      </c>
      <c r="G209" s="394">
        <f>IFERROR(IF(Loan_Not_Paid*Values_Entered,Interest,""), "")</f>
        <v>1321749.8082504366</v>
      </c>
      <c r="H209" s="394">
        <f>IFERROR(IF(Loan_Not_Paid*Values_Entered,Ending_Balance,""), "")</f>
        <v>243129251.81671381</v>
      </c>
    </row>
    <row r="210" spans="2:8">
      <c r="B210" s="396">
        <f>IFERROR(IF(Loan_Not_Paid*Values_Entered,Payment_Number,""), "")</f>
        <v>193</v>
      </c>
      <c r="C210" s="395"/>
      <c r="D210" s="394">
        <f>IFERROR(IF(Loan_Not_Paid*Values_Entered,Beginning_Balance,""), "")</f>
        <v>243129251.81671381</v>
      </c>
      <c r="E210" s="394">
        <f>IFERROR(IF(Loan_Not_Paid*Values_Entered,Monthly_Payment,""), "")</f>
        <v>2207847.2070036912</v>
      </c>
      <c r="F210" s="394">
        <f>IFERROR(IF(Loan_Not_Paid*Values_Entered,Principal,""), "")</f>
        <v>890897.09299650136</v>
      </c>
      <c r="G210" s="394">
        <f>IFERROR(IF(Loan_Not_Paid*Values_Entered,Interest,""), "")</f>
        <v>1316950.1140071899</v>
      </c>
      <c r="H210" s="394">
        <f>IFERROR(IF(Loan_Not_Paid*Values_Entered,Ending_Balance,""), "")</f>
        <v>242238354.72371745</v>
      </c>
    </row>
    <row r="211" spans="2:8">
      <c r="B211" s="396">
        <f>IFERROR(IF(Loan_Not_Paid*Values_Entered,Payment_Number,""), "")</f>
        <v>194</v>
      </c>
      <c r="C211" s="395"/>
      <c r="D211" s="394">
        <f>IFERROR(IF(Loan_Not_Paid*Values_Entered,Beginning_Balance,""), "")</f>
        <v>242238354.72371745</v>
      </c>
      <c r="E211" s="394">
        <f>IFERROR(IF(Loan_Not_Paid*Values_Entered,Monthly_Payment,""), "")</f>
        <v>2207847.2070036912</v>
      </c>
      <c r="F211" s="394">
        <f>IFERROR(IF(Loan_Not_Paid*Values_Entered,Principal,""), "")</f>
        <v>895722.78558356583</v>
      </c>
      <c r="G211" s="394">
        <f>IFERROR(IF(Loan_Not_Paid*Values_Entered,Interest,""), "")</f>
        <v>1312124.4214201258</v>
      </c>
      <c r="H211" s="394">
        <f>IFERROR(IF(Loan_Not_Paid*Values_Entered,Ending_Balance,""), "")</f>
        <v>241342631.93813384</v>
      </c>
    </row>
    <row r="212" spans="2:8">
      <c r="B212" s="396">
        <f>IFERROR(IF(Loan_Not_Paid*Values_Entered,Payment_Number,""), "")</f>
        <v>195</v>
      </c>
      <c r="C212" s="395"/>
      <c r="D212" s="394">
        <f>IFERROR(IF(Loan_Not_Paid*Values_Entered,Beginning_Balance,""), "")</f>
        <v>241342631.93813384</v>
      </c>
      <c r="E212" s="394">
        <f>IFERROR(IF(Loan_Not_Paid*Values_Entered,Monthly_Payment,""), "")</f>
        <v>2207847.2070036912</v>
      </c>
      <c r="F212" s="394">
        <f>IFERROR(IF(Loan_Not_Paid*Values_Entered,Principal,""), "")</f>
        <v>900574.61733881012</v>
      </c>
      <c r="G212" s="394">
        <f>IFERROR(IF(Loan_Not_Paid*Values_Entered,Interest,""), "")</f>
        <v>1307272.5896648811</v>
      </c>
      <c r="H212" s="394">
        <f>IFERROR(IF(Loan_Not_Paid*Values_Entered,Ending_Balance,""), "")</f>
        <v>240442057.32079494</v>
      </c>
    </row>
    <row r="213" spans="2:8">
      <c r="B213" s="396">
        <f>IFERROR(IF(Loan_Not_Paid*Values_Entered,Payment_Number,""), "")</f>
        <v>196</v>
      </c>
      <c r="C213" s="395"/>
      <c r="D213" s="394">
        <f>IFERROR(IF(Loan_Not_Paid*Values_Entered,Beginning_Balance,""), "")</f>
        <v>240442057.32079494</v>
      </c>
      <c r="E213" s="394">
        <f>IFERROR(IF(Loan_Not_Paid*Values_Entered,Monthly_Payment,""), "")</f>
        <v>2207847.2070036912</v>
      </c>
      <c r="F213" s="394">
        <f>IFERROR(IF(Loan_Not_Paid*Values_Entered,Principal,""), "")</f>
        <v>905452.72984939511</v>
      </c>
      <c r="G213" s="394">
        <f>IFERROR(IF(Loan_Not_Paid*Values_Entered,Interest,""), "")</f>
        <v>1302394.4771542961</v>
      </c>
      <c r="H213" s="394">
        <f>IFERROR(IF(Loan_Not_Paid*Values_Entered,Ending_Balance,""), "")</f>
        <v>239536604.59094572</v>
      </c>
    </row>
    <row r="214" spans="2:8">
      <c r="B214" s="396">
        <f>IFERROR(IF(Loan_Not_Paid*Values_Entered,Payment_Number,""), "")</f>
        <v>197</v>
      </c>
      <c r="C214" s="395"/>
      <c r="D214" s="394">
        <f>IFERROR(IF(Loan_Not_Paid*Values_Entered,Beginning_Balance,""), "")</f>
        <v>239536604.59094572</v>
      </c>
      <c r="E214" s="394">
        <f>IFERROR(IF(Loan_Not_Paid*Values_Entered,Monthly_Payment,""), "")</f>
        <v>2207847.2070036912</v>
      </c>
      <c r="F214" s="394">
        <f>IFERROR(IF(Loan_Not_Paid*Values_Entered,Principal,""), "")</f>
        <v>910357.26546941279</v>
      </c>
      <c r="G214" s="394">
        <f>IFERROR(IF(Loan_Not_Paid*Values_Entered,Interest,""), "")</f>
        <v>1297489.9415342784</v>
      </c>
      <c r="H214" s="394">
        <f>IFERROR(IF(Loan_Not_Paid*Values_Entered,Ending_Balance,""), "")</f>
        <v>238626247.32547629</v>
      </c>
    </row>
    <row r="215" spans="2:8">
      <c r="B215" s="396">
        <f>IFERROR(IF(Loan_Not_Paid*Values_Entered,Payment_Number,""), "")</f>
        <v>198</v>
      </c>
      <c r="C215" s="395"/>
      <c r="D215" s="394">
        <f>IFERROR(IF(Loan_Not_Paid*Values_Entered,Beginning_Balance,""), "")</f>
        <v>238626247.32547629</v>
      </c>
      <c r="E215" s="394">
        <f>IFERROR(IF(Loan_Not_Paid*Values_Entered,Monthly_Payment,""), "")</f>
        <v>2207847.2070036912</v>
      </c>
      <c r="F215" s="394">
        <f>IFERROR(IF(Loan_Not_Paid*Values_Entered,Principal,""), "")</f>
        <v>915288.36732403876</v>
      </c>
      <c r="G215" s="394">
        <f>IFERROR(IF(Loan_Not_Paid*Values_Entered,Interest,""), "")</f>
        <v>1292558.8396796524</v>
      </c>
      <c r="H215" s="394">
        <f>IFERROR(IF(Loan_Not_Paid*Values_Entered,Ending_Balance,""), "")</f>
        <v>237710958.95815217</v>
      </c>
    </row>
    <row r="216" spans="2:8">
      <c r="B216" s="396">
        <f>IFERROR(IF(Loan_Not_Paid*Values_Entered,Payment_Number,""), "")</f>
        <v>199</v>
      </c>
      <c r="C216" s="395"/>
      <c r="D216" s="394">
        <f>IFERROR(IF(Loan_Not_Paid*Values_Entered,Beginning_Balance,""), "")</f>
        <v>237710958.95815217</v>
      </c>
      <c r="E216" s="394">
        <f>IFERROR(IF(Loan_Not_Paid*Values_Entered,Monthly_Payment,""), "")</f>
        <v>2207847.2070036912</v>
      </c>
      <c r="F216" s="394">
        <f>IFERROR(IF(Loan_Not_Paid*Values_Entered,Principal,""), "")</f>
        <v>920246.17931371077</v>
      </c>
      <c r="G216" s="394">
        <f>IFERROR(IF(Loan_Not_Paid*Values_Entered,Interest,""), "")</f>
        <v>1287601.0276899808</v>
      </c>
      <c r="H216" s="394">
        <f>IFERROR(IF(Loan_Not_Paid*Values_Entered,Ending_Balance,""), "")</f>
        <v>236790712.77883852</v>
      </c>
    </row>
    <row r="217" spans="2:8">
      <c r="B217" s="396">
        <f>IFERROR(IF(Loan_Not_Paid*Values_Entered,Payment_Number,""), "")</f>
        <v>200</v>
      </c>
      <c r="C217" s="395"/>
      <c r="D217" s="394">
        <f>IFERROR(IF(Loan_Not_Paid*Values_Entered,Beginning_Balance,""), "")</f>
        <v>236790712.77883852</v>
      </c>
      <c r="E217" s="394">
        <f>IFERROR(IF(Loan_Not_Paid*Values_Entered,Monthly_Payment,""), "")</f>
        <v>2207847.2070036912</v>
      </c>
      <c r="F217" s="394">
        <f>IFERROR(IF(Loan_Not_Paid*Values_Entered,Principal,""), "")</f>
        <v>925230.84611832665</v>
      </c>
      <c r="G217" s="394">
        <f>IFERROR(IF(Loan_Not_Paid*Values_Entered,Interest,""), "")</f>
        <v>1282616.3608853647</v>
      </c>
      <c r="H217" s="394">
        <f>IFERROR(IF(Loan_Not_Paid*Values_Entered,Ending_Balance,""), "")</f>
        <v>235865481.93272018</v>
      </c>
    </row>
    <row r="218" spans="2:8">
      <c r="B218" s="396">
        <f>IFERROR(IF(Loan_Not_Paid*Values_Entered,Payment_Number,""), "")</f>
        <v>201</v>
      </c>
      <c r="C218" s="395"/>
      <c r="D218" s="394">
        <f>IFERROR(IF(Loan_Not_Paid*Values_Entered,Beginning_Balance,""), "")</f>
        <v>235865481.93272018</v>
      </c>
      <c r="E218" s="394">
        <f>IFERROR(IF(Loan_Not_Paid*Values_Entered,Monthly_Payment,""), "")</f>
        <v>2207847.2070036912</v>
      </c>
      <c r="F218" s="394">
        <f>IFERROR(IF(Loan_Not_Paid*Values_Entered,Principal,""), "")</f>
        <v>930242.51320146746</v>
      </c>
      <c r="G218" s="394">
        <f>IFERROR(IF(Loan_Not_Paid*Values_Entered,Interest,""), "")</f>
        <v>1277604.6938022238</v>
      </c>
      <c r="H218" s="394">
        <f>IFERROR(IF(Loan_Not_Paid*Values_Entered,Ending_Balance,""), "")</f>
        <v>234935239.41951883</v>
      </c>
    </row>
    <row r="219" spans="2:8">
      <c r="B219" s="396">
        <f>IFERROR(IF(Loan_Not_Paid*Values_Entered,Payment_Number,""), "")</f>
        <v>202</v>
      </c>
      <c r="C219" s="395"/>
      <c r="D219" s="394">
        <f>IFERROR(IF(Loan_Not_Paid*Values_Entered,Beginning_Balance,""), "")</f>
        <v>234935239.41951883</v>
      </c>
      <c r="E219" s="394">
        <f>IFERROR(IF(Loan_Not_Paid*Values_Entered,Monthly_Payment,""), "")</f>
        <v>2207847.2070036912</v>
      </c>
      <c r="F219" s="394">
        <f>IFERROR(IF(Loan_Not_Paid*Values_Entered,Principal,""), "")</f>
        <v>935281.32681464218</v>
      </c>
      <c r="G219" s="394">
        <f>IFERROR(IF(Loan_Not_Paid*Values_Entered,Interest,""), "")</f>
        <v>1272565.8801890493</v>
      </c>
      <c r="H219" s="394">
        <f>IFERROR(IF(Loan_Not_Paid*Values_Entered,Ending_Balance,""), "")</f>
        <v>233999958.09270418</v>
      </c>
    </row>
    <row r="220" spans="2:8">
      <c r="B220" s="396">
        <f>IFERROR(IF(Loan_Not_Paid*Values_Entered,Payment_Number,""), "")</f>
        <v>203</v>
      </c>
      <c r="C220" s="395"/>
      <c r="D220" s="394">
        <f>IFERROR(IF(Loan_Not_Paid*Values_Entered,Beginning_Balance,""), "")</f>
        <v>233999958.09270418</v>
      </c>
      <c r="E220" s="394">
        <f>IFERROR(IF(Loan_Not_Paid*Values_Entered,Monthly_Payment,""), "")</f>
        <v>2207847.2070036912</v>
      </c>
      <c r="F220" s="394">
        <f>IFERROR(IF(Loan_Not_Paid*Values_Entered,Principal,""), "")</f>
        <v>940347.43400155474</v>
      </c>
      <c r="G220" s="394">
        <f>IFERROR(IF(Loan_Not_Paid*Values_Entered,Interest,""), "")</f>
        <v>1267499.7730021363</v>
      </c>
      <c r="H220" s="394">
        <f>IFERROR(IF(Loan_Not_Paid*Values_Entered,Ending_Balance,""), "")</f>
        <v>233059610.65870273</v>
      </c>
    </row>
    <row r="221" spans="2:8">
      <c r="B221" s="396">
        <f>IFERROR(IF(Loan_Not_Paid*Values_Entered,Payment_Number,""), "")</f>
        <v>204</v>
      </c>
      <c r="C221" s="395"/>
      <c r="D221" s="394">
        <f>IFERROR(IF(Loan_Not_Paid*Values_Entered,Beginning_Balance,""), "")</f>
        <v>233059610.65870273</v>
      </c>
      <c r="E221" s="394">
        <f>IFERROR(IF(Loan_Not_Paid*Values_Entered,Monthly_Payment,""), "")</f>
        <v>2207847.2070036912</v>
      </c>
      <c r="F221" s="394">
        <f>IFERROR(IF(Loan_Not_Paid*Values_Entered,Principal,""), "")</f>
        <v>945440.98260239651</v>
      </c>
      <c r="G221" s="394">
        <f>IFERROR(IF(Loan_Not_Paid*Values_Entered,Interest,""), "")</f>
        <v>1262406.2244012947</v>
      </c>
      <c r="H221" s="394">
        <f>IFERROR(IF(Loan_Not_Paid*Values_Entered,Ending_Balance,""), "")</f>
        <v>232114169.67610025</v>
      </c>
    </row>
    <row r="222" spans="2:8">
      <c r="B222" s="396">
        <f>IFERROR(IF(Loan_Not_Paid*Values_Entered,Payment_Number,""), "")</f>
        <v>205</v>
      </c>
      <c r="C222" s="395"/>
      <c r="D222" s="394">
        <f>IFERROR(IF(Loan_Not_Paid*Values_Entered,Beginning_Balance,""), "")</f>
        <v>232114169.67610025</v>
      </c>
      <c r="E222" s="394">
        <f>IFERROR(IF(Loan_Not_Paid*Values_Entered,Monthly_Payment,""), "")</f>
        <v>2207847.2070036912</v>
      </c>
      <c r="F222" s="394">
        <f>IFERROR(IF(Loan_Not_Paid*Values_Entered,Principal,""), "")</f>
        <v>950562.12125815963</v>
      </c>
      <c r="G222" s="394">
        <f>IFERROR(IF(Loan_Not_Paid*Values_Entered,Interest,""), "")</f>
        <v>1257285.0857455316</v>
      </c>
      <c r="H222" s="394">
        <f>IFERROR(IF(Loan_Not_Paid*Values_Entered,Ending_Balance,""), "")</f>
        <v>231163607.55484211</v>
      </c>
    </row>
    <row r="223" spans="2:8">
      <c r="B223" s="396">
        <f>IFERROR(IF(Loan_Not_Paid*Values_Entered,Payment_Number,""), "")</f>
        <v>206</v>
      </c>
      <c r="C223" s="395"/>
      <c r="D223" s="394">
        <f>IFERROR(IF(Loan_Not_Paid*Values_Entered,Beginning_Balance,""), "")</f>
        <v>231163607.55484211</v>
      </c>
      <c r="E223" s="394">
        <f>IFERROR(IF(Loan_Not_Paid*Values_Entered,Monthly_Payment,""), "")</f>
        <v>2207847.2070036912</v>
      </c>
      <c r="F223" s="394">
        <f>IFERROR(IF(Loan_Not_Paid*Values_Entered,Principal,""), "")</f>
        <v>955710.99941497447</v>
      </c>
      <c r="G223" s="394">
        <f>IFERROR(IF(Loan_Not_Paid*Values_Entered,Interest,""), "")</f>
        <v>1252136.2075887166</v>
      </c>
      <c r="H223" s="394">
        <f>IFERROR(IF(Loan_Not_Paid*Values_Entered,Ending_Balance,""), "")</f>
        <v>230207896.55542719</v>
      </c>
    </row>
    <row r="224" spans="2:8">
      <c r="B224" s="396">
        <f>IFERROR(IF(Loan_Not_Paid*Values_Entered,Payment_Number,""), "")</f>
        <v>207</v>
      </c>
      <c r="C224" s="395"/>
      <c r="D224" s="394">
        <f>IFERROR(IF(Loan_Not_Paid*Values_Entered,Beginning_Balance,""), "")</f>
        <v>230207896.55542719</v>
      </c>
      <c r="E224" s="394">
        <f>IFERROR(IF(Loan_Not_Paid*Values_Entered,Monthly_Payment,""), "")</f>
        <v>2207847.2070036912</v>
      </c>
      <c r="F224" s="394">
        <f>IFERROR(IF(Loan_Not_Paid*Values_Entered,Principal,""), "")</f>
        <v>960887.76732847246</v>
      </c>
      <c r="G224" s="394">
        <f>IFERROR(IF(Loan_Not_Paid*Values_Entered,Interest,""), "")</f>
        <v>1246959.4396752191</v>
      </c>
      <c r="H224" s="394">
        <f>IFERROR(IF(Loan_Not_Paid*Values_Entered,Ending_Balance,""), "")</f>
        <v>229247008.78809857</v>
      </c>
    </row>
    <row r="225" spans="2:8">
      <c r="B225" s="396">
        <f>IFERROR(IF(Loan_Not_Paid*Values_Entered,Payment_Number,""), "")</f>
        <v>208</v>
      </c>
      <c r="C225" s="395"/>
      <c r="D225" s="394">
        <f>IFERROR(IF(Loan_Not_Paid*Values_Entered,Beginning_Balance,""), "")</f>
        <v>229247008.78809857</v>
      </c>
      <c r="E225" s="394">
        <f>IFERROR(IF(Loan_Not_Paid*Values_Entered,Monthly_Payment,""), "")</f>
        <v>2207847.2070036912</v>
      </c>
      <c r="F225" s="394">
        <f>IFERROR(IF(Loan_Not_Paid*Values_Entered,Principal,""), "")</f>
        <v>966092.57606816827</v>
      </c>
      <c r="G225" s="394">
        <f>IFERROR(IF(Loan_Not_Paid*Values_Entered,Interest,""), "")</f>
        <v>1241754.630935523</v>
      </c>
      <c r="H225" s="394">
        <f>IFERROR(IF(Loan_Not_Paid*Values_Entered,Ending_Balance,""), "")</f>
        <v>228280916.21203053</v>
      </c>
    </row>
    <row r="226" spans="2:8">
      <c r="B226" s="396">
        <f>IFERROR(IF(Loan_Not_Paid*Values_Entered,Payment_Number,""), "")</f>
        <v>209</v>
      </c>
      <c r="C226" s="395"/>
      <c r="D226" s="394">
        <f>IFERROR(IF(Loan_Not_Paid*Values_Entered,Beginning_Balance,""), "")</f>
        <v>228280916.21203053</v>
      </c>
      <c r="E226" s="394">
        <f>IFERROR(IF(Loan_Not_Paid*Values_Entered,Monthly_Payment,""), "")</f>
        <v>2207847.2070036912</v>
      </c>
      <c r="F226" s="394">
        <f>IFERROR(IF(Loan_Not_Paid*Values_Entered,Principal,""), "")</f>
        <v>971325.57752187073</v>
      </c>
      <c r="G226" s="394">
        <f>IFERROR(IF(Loan_Not_Paid*Values_Entered,Interest,""), "")</f>
        <v>1236521.6294818204</v>
      </c>
      <c r="H226" s="394">
        <f>IFERROR(IF(Loan_Not_Paid*Values_Entered,Ending_Balance,""), "")</f>
        <v>227309590.63450885</v>
      </c>
    </row>
    <row r="227" spans="2:8">
      <c r="B227" s="396">
        <f>IFERROR(IF(Loan_Not_Paid*Values_Entered,Payment_Number,""), "")</f>
        <v>210</v>
      </c>
      <c r="C227" s="395"/>
      <c r="D227" s="394">
        <f>IFERROR(IF(Loan_Not_Paid*Values_Entered,Beginning_Balance,""), "")</f>
        <v>227309590.63450885</v>
      </c>
      <c r="E227" s="394">
        <f>IFERROR(IF(Loan_Not_Paid*Values_Entered,Monthly_Payment,""), "")</f>
        <v>2207847.2070036912</v>
      </c>
      <c r="F227" s="394">
        <f>IFERROR(IF(Loan_Not_Paid*Values_Entered,Principal,""), "")</f>
        <v>976586.92440011434</v>
      </c>
      <c r="G227" s="394">
        <f>IFERROR(IF(Loan_Not_Paid*Values_Entered,Interest,""), "")</f>
        <v>1231260.282603577</v>
      </c>
      <c r="H227" s="394">
        <f>IFERROR(IF(Loan_Not_Paid*Values_Entered,Ending_Balance,""), "")</f>
        <v>226333003.71010852</v>
      </c>
    </row>
    <row r="228" spans="2:8">
      <c r="B228" s="396">
        <f>IFERROR(IF(Loan_Not_Paid*Values_Entered,Payment_Number,""), "")</f>
        <v>211</v>
      </c>
      <c r="C228" s="395"/>
      <c r="D228" s="394">
        <f>IFERROR(IF(Loan_Not_Paid*Values_Entered,Beginning_Balance,""), "")</f>
        <v>226333003.71010852</v>
      </c>
      <c r="E228" s="394">
        <f>IFERROR(IF(Loan_Not_Paid*Values_Entered,Monthly_Payment,""), "")</f>
        <v>2207847.2070036912</v>
      </c>
      <c r="F228" s="394">
        <f>IFERROR(IF(Loan_Not_Paid*Values_Entered,Principal,""), "")</f>
        <v>981876.77024061489</v>
      </c>
      <c r="G228" s="394">
        <f>IFERROR(IF(Loan_Not_Paid*Values_Entered,Interest,""), "")</f>
        <v>1225970.4367630763</v>
      </c>
      <c r="H228" s="394">
        <f>IFERROR(IF(Loan_Not_Paid*Values_Entered,Ending_Balance,""), "")</f>
        <v>225351126.93986785</v>
      </c>
    </row>
    <row r="229" spans="2:8">
      <c r="B229" s="396">
        <f>IFERROR(IF(Loan_Not_Paid*Values_Entered,Payment_Number,""), "")</f>
        <v>212</v>
      </c>
      <c r="C229" s="395"/>
      <c r="D229" s="394">
        <f>IFERROR(IF(Loan_Not_Paid*Values_Entered,Beginning_Balance,""), "")</f>
        <v>225351126.93986785</v>
      </c>
      <c r="E229" s="394">
        <f>IFERROR(IF(Loan_Not_Paid*Values_Entered,Monthly_Payment,""), "")</f>
        <v>2207847.2070036912</v>
      </c>
      <c r="F229" s="394">
        <f>IFERROR(IF(Loan_Not_Paid*Values_Entered,Principal,""), "")</f>
        <v>987195.26941275166</v>
      </c>
      <c r="G229" s="394">
        <f>IFERROR(IF(Loan_Not_Paid*Values_Entered,Interest,""), "")</f>
        <v>1220651.9375909397</v>
      </c>
      <c r="H229" s="394">
        <f>IFERROR(IF(Loan_Not_Paid*Values_Entered,Ending_Balance,""), "")</f>
        <v>224363931.67045522</v>
      </c>
    </row>
    <row r="230" spans="2:8">
      <c r="B230" s="396">
        <f>IFERROR(IF(Loan_Not_Paid*Values_Entered,Payment_Number,""), "")</f>
        <v>213</v>
      </c>
      <c r="C230" s="395"/>
      <c r="D230" s="394">
        <f>IFERROR(IF(Loan_Not_Paid*Values_Entered,Beginning_Balance,""), "")</f>
        <v>224363931.67045522</v>
      </c>
      <c r="E230" s="394">
        <f>IFERROR(IF(Loan_Not_Paid*Values_Entered,Monthly_Payment,""), "")</f>
        <v>2207847.2070036912</v>
      </c>
      <c r="F230" s="394">
        <f>IFERROR(IF(Loan_Not_Paid*Values_Entered,Principal,""), "")</f>
        <v>992542.57712207059</v>
      </c>
      <c r="G230" s="394">
        <f>IFERROR(IF(Loan_Not_Paid*Values_Entered,Interest,""), "")</f>
        <v>1215304.6298816206</v>
      </c>
      <c r="H230" s="394">
        <f>IFERROR(IF(Loan_Not_Paid*Values_Entered,Ending_Balance,""), "")</f>
        <v>223371389.09333324</v>
      </c>
    </row>
    <row r="231" spans="2:8">
      <c r="B231" s="396">
        <f>IFERROR(IF(Loan_Not_Paid*Values_Entered,Payment_Number,""), "")</f>
        <v>214</v>
      </c>
      <c r="C231" s="395"/>
      <c r="D231" s="394">
        <f>IFERROR(IF(Loan_Not_Paid*Values_Entered,Beginning_Balance,""), "")</f>
        <v>223371389.09333324</v>
      </c>
      <c r="E231" s="394">
        <f>IFERROR(IF(Loan_Not_Paid*Values_Entered,Monthly_Payment,""), "")</f>
        <v>2207847.2070036912</v>
      </c>
      <c r="F231" s="394">
        <f>IFERROR(IF(Loan_Not_Paid*Values_Entered,Principal,""), "")</f>
        <v>997918.84941481519</v>
      </c>
      <c r="G231" s="394">
        <f>IFERROR(IF(Loan_Not_Paid*Values_Entered,Interest,""), "")</f>
        <v>1209928.357588876</v>
      </c>
      <c r="H231" s="394">
        <f>IFERROR(IF(Loan_Not_Paid*Values_Entered,Ending_Balance,""), "")</f>
        <v>222373470.24391842</v>
      </c>
    </row>
    <row r="232" spans="2:8">
      <c r="B232" s="396">
        <f>IFERROR(IF(Loan_Not_Paid*Values_Entered,Payment_Number,""), "")</f>
        <v>215</v>
      </c>
      <c r="C232" s="395"/>
      <c r="D232" s="394">
        <f>IFERROR(IF(Loan_Not_Paid*Values_Entered,Beginning_Balance,""), "")</f>
        <v>222373470.24391842</v>
      </c>
      <c r="E232" s="394">
        <f>IFERROR(IF(Loan_Not_Paid*Values_Entered,Monthly_Payment,""), "")</f>
        <v>2207847.2070036912</v>
      </c>
      <c r="F232" s="394">
        <f>IFERROR(IF(Loan_Not_Paid*Values_Entered,Principal,""), "")</f>
        <v>1003324.2431824787</v>
      </c>
      <c r="G232" s="394">
        <f>IFERROR(IF(Loan_Not_Paid*Values_Entered,Interest,""), "")</f>
        <v>1204522.9638212125</v>
      </c>
      <c r="H232" s="394">
        <f>IFERROR(IF(Loan_Not_Paid*Values_Entered,Ending_Balance,""), "")</f>
        <v>221370146.000736</v>
      </c>
    </row>
    <row r="233" spans="2:8">
      <c r="B233" s="396">
        <f>IFERROR(IF(Loan_Not_Paid*Values_Entered,Payment_Number,""), "")</f>
        <v>216</v>
      </c>
      <c r="C233" s="395"/>
      <c r="D233" s="394">
        <f>IFERROR(IF(Loan_Not_Paid*Values_Entered,Beginning_Balance,""), "")</f>
        <v>221370146.000736</v>
      </c>
      <c r="E233" s="394">
        <f>IFERROR(IF(Loan_Not_Paid*Values_Entered,Monthly_Payment,""), "")</f>
        <v>2207847.2070036912</v>
      </c>
      <c r="F233" s="394">
        <f>IFERROR(IF(Loan_Not_Paid*Values_Entered,Principal,""), "")</f>
        <v>1008758.9161663838</v>
      </c>
      <c r="G233" s="394">
        <f>IFERROR(IF(Loan_Not_Paid*Values_Entered,Interest,""), "")</f>
        <v>1199088.2908373075</v>
      </c>
      <c r="H233" s="394">
        <f>IFERROR(IF(Loan_Not_Paid*Values_Entered,Ending_Balance,""), "")</f>
        <v>220361387.08456957</v>
      </c>
    </row>
    <row r="234" spans="2:8">
      <c r="B234" s="396">
        <f>IFERROR(IF(Loan_Not_Paid*Values_Entered,Payment_Number,""), "")</f>
        <v>217</v>
      </c>
      <c r="C234" s="395"/>
      <c r="D234" s="394">
        <f>IFERROR(IF(Loan_Not_Paid*Values_Entered,Beginning_Balance,""), "")</f>
        <v>220361387.08456957</v>
      </c>
      <c r="E234" s="394">
        <f>IFERROR(IF(Loan_Not_Paid*Values_Entered,Monthly_Payment,""), "")</f>
        <v>2207847.2070036912</v>
      </c>
      <c r="F234" s="394">
        <f>IFERROR(IF(Loan_Not_Paid*Values_Entered,Principal,""), "")</f>
        <v>1014223.026962285</v>
      </c>
      <c r="G234" s="394">
        <f>IFERROR(IF(Loan_Not_Paid*Values_Entered,Interest,""), "")</f>
        <v>1193624.1800414058</v>
      </c>
      <c r="H234" s="394">
        <f>IFERROR(IF(Loan_Not_Paid*Values_Entered,Ending_Balance,""), "")</f>
        <v>219347164.05760741</v>
      </c>
    </row>
    <row r="235" spans="2:8">
      <c r="B235" s="396">
        <f>IFERROR(IF(Loan_Not_Paid*Values_Entered,Payment_Number,""), "")</f>
        <v>218</v>
      </c>
      <c r="C235" s="395"/>
      <c r="D235" s="394">
        <f>IFERROR(IF(Loan_Not_Paid*Values_Entered,Beginning_Balance,""), "")</f>
        <v>219347164.05760741</v>
      </c>
      <c r="E235" s="394">
        <f>IFERROR(IF(Loan_Not_Paid*Values_Entered,Monthly_Payment,""), "")</f>
        <v>2207847.2070036912</v>
      </c>
      <c r="F235" s="394">
        <f>IFERROR(IF(Loan_Not_Paid*Values_Entered,Principal,""), "")</f>
        <v>1019716.7350249974</v>
      </c>
      <c r="G235" s="394">
        <f>IFERROR(IF(Loan_Not_Paid*Values_Entered,Interest,""), "")</f>
        <v>1188130.4719786937</v>
      </c>
      <c r="H235" s="394">
        <f>IFERROR(IF(Loan_Not_Paid*Values_Entered,Ending_Balance,""), "")</f>
        <v>218327447.32258248</v>
      </c>
    </row>
    <row r="236" spans="2:8">
      <c r="B236" s="396">
        <f>IFERROR(IF(Loan_Not_Paid*Values_Entered,Payment_Number,""), "")</f>
        <v>219</v>
      </c>
      <c r="C236" s="395"/>
      <c r="D236" s="394">
        <f>IFERROR(IF(Loan_Not_Paid*Values_Entered,Beginning_Balance,""), "")</f>
        <v>218327447.32258248</v>
      </c>
      <c r="E236" s="394">
        <f>IFERROR(IF(Loan_Not_Paid*Values_Entered,Monthly_Payment,""), "")</f>
        <v>2207847.2070036912</v>
      </c>
      <c r="F236" s="394">
        <f>IFERROR(IF(Loan_Not_Paid*Values_Entered,Principal,""), "")</f>
        <v>1025240.2006730497</v>
      </c>
      <c r="G236" s="394">
        <f>IFERROR(IF(Loan_Not_Paid*Values_Entered,Interest,""), "")</f>
        <v>1182607.0063306417</v>
      </c>
      <c r="H236" s="394">
        <f>IFERROR(IF(Loan_Not_Paid*Values_Entered,Ending_Balance,""), "")</f>
        <v>217302207.12190926</v>
      </c>
    </row>
    <row r="237" spans="2:8">
      <c r="B237" s="396">
        <f>IFERROR(IF(Loan_Not_Paid*Values_Entered,Payment_Number,""), "")</f>
        <v>220</v>
      </c>
      <c r="C237" s="395"/>
      <c r="D237" s="394">
        <f>IFERROR(IF(Loan_Not_Paid*Values_Entered,Beginning_Balance,""), "")</f>
        <v>217302207.12190926</v>
      </c>
      <c r="E237" s="394">
        <f>IFERROR(IF(Loan_Not_Paid*Values_Entered,Monthly_Payment,""), "")</f>
        <v>2207847.2070036912</v>
      </c>
      <c r="F237" s="394">
        <f>IFERROR(IF(Loan_Not_Paid*Values_Entered,Principal,""), "")</f>
        <v>1030793.5850933619</v>
      </c>
      <c r="G237" s="394">
        <f>IFERROR(IF(Loan_Not_Paid*Values_Entered,Interest,""), "")</f>
        <v>1177053.6219103292</v>
      </c>
      <c r="H237" s="394">
        <f>IFERROR(IF(Loan_Not_Paid*Values_Entered,Ending_Balance,""), "")</f>
        <v>216271413.53681612</v>
      </c>
    </row>
    <row r="238" spans="2:8">
      <c r="B238" s="396">
        <f>IFERROR(IF(Loan_Not_Paid*Values_Entered,Payment_Number,""), "")</f>
        <v>221</v>
      </c>
      <c r="C238" s="395"/>
      <c r="D238" s="394">
        <f>IFERROR(IF(Loan_Not_Paid*Values_Entered,Beginning_Balance,""), "")</f>
        <v>216271413.53681612</v>
      </c>
      <c r="E238" s="394">
        <f>IFERROR(IF(Loan_Not_Paid*Values_Entered,Monthly_Payment,""), "")</f>
        <v>2207847.2070036912</v>
      </c>
      <c r="F238" s="394">
        <f>IFERROR(IF(Loan_Not_Paid*Values_Entered,Principal,""), "")</f>
        <v>1036377.0503459509</v>
      </c>
      <c r="G238" s="394">
        <f>IFERROR(IF(Loan_Not_Paid*Values_Entered,Interest,""), "")</f>
        <v>1171470.1566577405</v>
      </c>
      <c r="H238" s="394">
        <f>IFERROR(IF(Loan_Not_Paid*Values_Entered,Ending_Balance,""), "")</f>
        <v>215235036.4864701</v>
      </c>
    </row>
    <row r="239" spans="2:8">
      <c r="B239" s="396">
        <f>IFERROR(IF(Loan_Not_Paid*Values_Entered,Payment_Number,""), "")</f>
        <v>222</v>
      </c>
      <c r="C239" s="395"/>
      <c r="D239" s="394">
        <f>IFERROR(IF(Loan_Not_Paid*Values_Entered,Beginning_Balance,""), "")</f>
        <v>215235036.4864701</v>
      </c>
      <c r="E239" s="394">
        <f>IFERROR(IF(Loan_Not_Paid*Values_Entered,Monthly_Payment,""), "")</f>
        <v>2207847.2070036912</v>
      </c>
      <c r="F239" s="394">
        <f>IFERROR(IF(Loan_Not_Paid*Values_Entered,Principal,""), "")</f>
        <v>1041990.7593686582</v>
      </c>
      <c r="G239" s="394">
        <f>IFERROR(IF(Loan_Not_Paid*Values_Entered,Interest,""), "")</f>
        <v>1165856.4476350329</v>
      </c>
      <c r="H239" s="394">
        <f>IFERROR(IF(Loan_Not_Paid*Values_Entered,Ending_Balance,""), "")</f>
        <v>214193045.72710133</v>
      </c>
    </row>
    <row r="240" spans="2:8">
      <c r="B240" s="396">
        <f>IFERROR(IF(Loan_Not_Paid*Values_Entered,Payment_Number,""), "")</f>
        <v>223</v>
      </c>
      <c r="C240" s="395"/>
      <c r="D240" s="394">
        <f>IFERROR(IF(Loan_Not_Paid*Values_Entered,Beginning_Balance,""), "")</f>
        <v>214193045.72710133</v>
      </c>
      <c r="E240" s="394">
        <f>IFERROR(IF(Loan_Not_Paid*Values_Entered,Monthly_Payment,""), "")</f>
        <v>2207847.2070036912</v>
      </c>
      <c r="F240" s="394">
        <f>IFERROR(IF(Loan_Not_Paid*Values_Entered,Principal,""), "")</f>
        <v>1047634.875981905</v>
      </c>
      <c r="G240" s="394">
        <f>IFERROR(IF(Loan_Not_Paid*Values_Entered,Interest,""), "")</f>
        <v>1160212.3310217862</v>
      </c>
      <c r="H240" s="394">
        <f>IFERROR(IF(Loan_Not_Paid*Values_Entered,Ending_Balance,""), "")</f>
        <v>213145410.85111952</v>
      </c>
    </row>
    <row r="241" spans="2:8">
      <c r="B241" s="396">
        <f>IFERROR(IF(Loan_Not_Paid*Values_Entered,Payment_Number,""), "")</f>
        <v>224</v>
      </c>
      <c r="C241" s="395"/>
      <c r="D241" s="394">
        <f>IFERROR(IF(Loan_Not_Paid*Values_Entered,Beginning_Balance,""), "")</f>
        <v>213145410.85111952</v>
      </c>
      <c r="E241" s="394">
        <f>IFERROR(IF(Loan_Not_Paid*Values_Entered,Monthly_Payment,""), "")</f>
        <v>2207847.2070036912</v>
      </c>
      <c r="F241" s="394">
        <f>IFERROR(IF(Loan_Not_Paid*Values_Entered,Principal,""), "")</f>
        <v>1053309.5648934739</v>
      </c>
      <c r="G241" s="394">
        <f>IFERROR(IF(Loan_Not_Paid*Values_Entered,Interest,""), "")</f>
        <v>1154537.6421102174</v>
      </c>
      <c r="H241" s="394">
        <f>IFERROR(IF(Loan_Not_Paid*Values_Entered,Ending_Balance,""), "")</f>
        <v>212092101.28622615</v>
      </c>
    </row>
    <row r="242" spans="2:8">
      <c r="B242" s="396">
        <f>IFERROR(IF(Loan_Not_Paid*Values_Entered,Payment_Number,""), "")</f>
        <v>225</v>
      </c>
      <c r="C242" s="395"/>
      <c r="D242" s="394">
        <f>IFERROR(IF(Loan_Not_Paid*Values_Entered,Beginning_Balance,""), "")</f>
        <v>212092101.28622615</v>
      </c>
      <c r="E242" s="394">
        <f>IFERROR(IF(Loan_Not_Paid*Values_Entered,Monthly_Payment,""), "")</f>
        <v>2207847.2070036912</v>
      </c>
      <c r="F242" s="394">
        <f>IFERROR(IF(Loan_Not_Paid*Values_Entered,Principal,""), "")</f>
        <v>1059014.9917033133</v>
      </c>
      <c r="G242" s="394">
        <f>IFERROR(IF(Loan_Not_Paid*Values_Entered,Interest,""), "")</f>
        <v>1148832.2153003779</v>
      </c>
      <c r="H242" s="394">
        <f>IFERROR(IF(Loan_Not_Paid*Values_Entered,Ending_Balance,""), "")</f>
        <v>211033086.294523</v>
      </c>
    </row>
    <row r="243" spans="2:8">
      <c r="B243" s="396">
        <f>IFERROR(IF(Loan_Not_Paid*Values_Entered,Payment_Number,""), "")</f>
        <v>226</v>
      </c>
      <c r="C243" s="395"/>
      <c r="D243" s="394">
        <f>IFERROR(IF(Loan_Not_Paid*Values_Entered,Beginning_Balance,""), "")</f>
        <v>211033086.294523</v>
      </c>
      <c r="E243" s="394">
        <f>IFERROR(IF(Loan_Not_Paid*Values_Entered,Monthly_Payment,""), "")</f>
        <v>2207847.2070036912</v>
      </c>
      <c r="F243" s="394">
        <f>IFERROR(IF(Loan_Not_Paid*Values_Entered,Principal,""), "")</f>
        <v>1064751.3229083729</v>
      </c>
      <c r="G243" s="394">
        <f>IFERROR(IF(Loan_Not_Paid*Values_Entered,Interest,""), "")</f>
        <v>1143095.8840953181</v>
      </c>
      <c r="H243" s="394">
        <f>IFERROR(IF(Loan_Not_Paid*Values_Entered,Ending_Balance,""), "")</f>
        <v>209968334.97161448</v>
      </c>
    </row>
    <row r="244" spans="2:8">
      <c r="B244" s="396">
        <f>IFERROR(IF(Loan_Not_Paid*Values_Entered,Payment_Number,""), "")</f>
        <v>227</v>
      </c>
      <c r="C244" s="395"/>
      <c r="D244" s="394">
        <f>IFERROR(IF(Loan_Not_Paid*Values_Entered,Beginning_Balance,""), "")</f>
        <v>209968334.97161448</v>
      </c>
      <c r="E244" s="394">
        <f>IFERROR(IF(Loan_Not_Paid*Values_Entered,Monthly_Payment,""), "")</f>
        <v>2207847.2070036912</v>
      </c>
      <c r="F244" s="394">
        <f>IFERROR(IF(Loan_Not_Paid*Values_Entered,Principal,""), "")</f>
        <v>1070518.7259074599</v>
      </c>
      <c r="G244" s="394">
        <f>IFERROR(IF(Loan_Not_Paid*Values_Entered,Interest,""), "")</f>
        <v>1137328.4810962314</v>
      </c>
      <c r="H244" s="394">
        <f>IFERROR(IF(Loan_Not_Paid*Values_Entered,Ending_Balance,""), "")</f>
        <v>208897816.24570704</v>
      </c>
    </row>
    <row r="245" spans="2:8">
      <c r="B245" s="396">
        <f>IFERROR(IF(Loan_Not_Paid*Values_Entered,Payment_Number,""), "")</f>
        <v>228</v>
      </c>
      <c r="C245" s="395"/>
      <c r="D245" s="394">
        <f>IFERROR(IF(Loan_Not_Paid*Values_Entered,Beginning_Balance,""), "")</f>
        <v>208897816.24570704</v>
      </c>
      <c r="E245" s="394">
        <f>IFERROR(IF(Loan_Not_Paid*Values_Entered,Monthly_Payment,""), "")</f>
        <v>2207847.2070036912</v>
      </c>
      <c r="F245" s="394">
        <f>IFERROR(IF(Loan_Not_Paid*Values_Entered,Principal,""), "")</f>
        <v>1076317.3690061255</v>
      </c>
      <c r="G245" s="394">
        <f>IFERROR(IF(Loan_Not_Paid*Values_Entered,Interest,""), "")</f>
        <v>1131529.8379975657</v>
      </c>
      <c r="H245" s="394">
        <f>IFERROR(IF(Loan_Not_Paid*Values_Entered,Ending_Balance,""), "")</f>
        <v>207821498.87670112</v>
      </c>
    </row>
    <row r="246" spans="2:8">
      <c r="B246" s="396">
        <f>IFERROR(IF(Loan_Not_Paid*Values_Entered,Payment_Number,""), "")</f>
        <v>229</v>
      </c>
      <c r="C246" s="395"/>
      <c r="D246" s="394">
        <f>IFERROR(IF(Loan_Not_Paid*Values_Entered,Beginning_Balance,""), "")</f>
        <v>207821498.87670112</v>
      </c>
      <c r="E246" s="394">
        <f>IFERROR(IF(Loan_Not_Paid*Values_Entered,Monthly_Payment,""), "")</f>
        <v>2207847.2070036912</v>
      </c>
      <c r="F246" s="394">
        <f>IFERROR(IF(Loan_Not_Paid*Values_Entered,Principal,""), "")</f>
        <v>1082147.4214215754</v>
      </c>
      <c r="G246" s="394">
        <f>IFERROR(IF(Loan_Not_Paid*Values_Entered,Interest,""), "")</f>
        <v>1125699.7855821159</v>
      </c>
      <c r="H246" s="394">
        <f>IFERROR(IF(Loan_Not_Paid*Values_Entered,Ending_Balance,""), "")</f>
        <v>206739351.45527959</v>
      </c>
    </row>
    <row r="247" spans="2:8">
      <c r="B247" s="396">
        <f>IFERROR(IF(Loan_Not_Paid*Values_Entered,Payment_Number,""), "")</f>
        <v>230</v>
      </c>
      <c r="C247" s="395"/>
      <c r="D247" s="394">
        <f>IFERROR(IF(Loan_Not_Paid*Values_Entered,Beginning_Balance,""), "")</f>
        <v>206739351.45527959</v>
      </c>
      <c r="E247" s="394">
        <f>IFERROR(IF(Loan_Not_Paid*Values_Entered,Monthly_Payment,""), "")</f>
        <v>2207847.2070036912</v>
      </c>
      <c r="F247" s="394">
        <f>IFERROR(IF(Loan_Not_Paid*Values_Entered,Principal,""), "")</f>
        <v>1088009.0532876088</v>
      </c>
      <c r="G247" s="394">
        <f>IFERROR(IF(Loan_Not_Paid*Values_Entered,Interest,""), "")</f>
        <v>1119838.1537160825</v>
      </c>
      <c r="H247" s="394">
        <f>IFERROR(IF(Loan_Not_Paid*Values_Entered,Ending_Balance,""), "")</f>
        <v>205651342.40199196</v>
      </c>
    </row>
    <row r="248" spans="2:8">
      <c r="B248" s="396">
        <f>IFERROR(IF(Loan_Not_Paid*Values_Entered,Payment_Number,""), "")</f>
        <v>231</v>
      </c>
      <c r="C248" s="395"/>
      <c r="D248" s="394">
        <f>IFERROR(IF(Loan_Not_Paid*Values_Entered,Beginning_Balance,""), "")</f>
        <v>205651342.40199196</v>
      </c>
      <c r="E248" s="394">
        <f>IFERROR(IF(Loan_Not_Paid*Values_Entered,Monthly_Payment,""), "")</f>
        <v>2207847.2070036912</v>
      </c>
      <c r="F248" s="394">
        <f>IFERROR(IF(Loan_Not_Paid*Values_Entered,Principal,""), "")</f>
        <v>1093902.4356595834</v>
      </c>
      <c r="G248" s="394">
        <f>IFERROR(IF(Loan_Not_Paid*Values_Entered,Interest,""), "")</f>
        <v>1113944.7713441078</v>
      </c>
      <c r="H248" s="394">
        <f>IFERROR(IF(Loan_Not_Paid*Values_Entered,Ending_Balance,""), "")</f>
        <v>204557439.9663322</v>
      </c>
    </row>
    <row r="249" spans="2:8">
      <c r="B249" s="396">
        <f>IFERROR(IF(Loan_Not_Paid*Values_Entered,Payment_Number,""), "")</f>
        <v>232</v>
      </c>
      <c r="C249" s="395"/>
      <c r="D249" s="394">
        <f>IFERROR(IF(Loan_Not_Paid*Values_Entered,Beginning_Balance,""), "")</f>
        <v>204557439.9663322</v>
      </c>
      <c r="E249" s="394">
        <f>IFERROR(IF(Loan_Not_Paid*Values_Entered,Monthly_Payment,""), "")</f>
        <v>2207847.2070036912</v>
      </c>
      <c r="F249" s="394">
        <f>IFERROR(IF(Loan_Not_Paid*Values_Entered,Principal,""), "")</f>
        <v>1099827.740519406</v>
      </c>
      <c r="G249" s="394">
        <f>IFERROR(IF(Loan_Not_Paid*Values_Entered,Interest,""), "")</f>
        <v>1108019.466484285</v>
      </c>
      <c r="H249" s="394">
        <f>IFERROR(IF(Loan_Not_Paid*Values_Entered,Ending_Balance,""), "")</f>
        <v>203457612.22581291</v>
      </c>
    </row>
    <row r="250" spans="2:8">
      <c r="B250" s="396">
        <f>IFERROR(IF(Loan_Not_Paid*Values_Entered,Payment_Number,""), "")</f>
        <v>233</v>
      </c>
      <c r="C250" s="395"/>
      <c r="D250" s="394">
        <f>IFERROR(IF(Loan_Not_Paid*Values_Entered,Beginning_Balance,""), "")</f>
        <v>203457612.22581291</v>
      </c>
      <c r="E250" s="394">
        <f>IFERROR(IF(Loan_Not_Paid*Values_Entered,Monthly_Payment,""), "")</f>
        <v>2207847.2070036912</v>
      </c>
      <c r="F250" s="394">
        <f>IFERROR(IF(Loan_Not_Paid*Values_Entered,Principal,""), "")</f>
        <v>1105785.140780553</v>
      </c>
      <c r="G250" s="394">
        <f>IFERROR(IF(Loan_Not_Paid*Values_Entered,Interest,""), "")</f>
        <v>1102062.0662231382</v>
      </c>
      <c r="H250" s="394">
        <f>IFERROR(IF(Loan_Not_Paid*Values_Entered,Ending_Balance,""), "")</f>
        <v>202351827.08503234</v>
      </c>
    </row>
    <row r="251" spans="2:8">
      <c r="B251" s="396">
        <f>IFERROR(IF(Loan_Not_Paid*Values_Entered,Payment_Number,""), "")</f>
        <v>234</v>
      </c>
      <c r="C251" s="395"/>
      <c r="D251" s="394">
        <f>IFERROR(IF(Loan_Not_Paid*Values_Entered,Beginning_Balance,""), "")</f>
        <v>202351827.08503234</v>
      </c>
      <c r="E251" s="394">
        <f>IFERROR(IF(Loan_Not_Paid*Values_Entered,Monthly_Payment,""), "")</f>
        <v>2207847.2070036912</v>
      </c>
      <c r="F251" s="394">
        <f>IFERROR(IF(Loan_Not_Paid*Values_Entered,Principal,""), "")</f>
        <v>1111774.8102931143</v>
      </c>
      <c r="G251" s="394">
        <f>IFERROR(IF(Loan_Not_Paid*Values_Entered,Interest,""), "")</f>
        <v>1096072.396710577</v>
      </c>
      <c r="H251" s="394">
        <f>IFERROR(IF(Loan_Not_Paid*Values_Entered,Ending_Balance,""), "")</f>
        <v>201240052.27473938</v>
      </c>
    </row>
    <row r="252" spans="2:8">
      <c r="B252" s="396">
        <f>IFERROR(IF(Loan_Not_Paid*Values_Entered,Payment_Number,""), "")</f>
        <v>235</v>
      </c>
      <c r="C252" s="395"/>
      <c r="D252" s="394">
        <f>IFERROR(IF(Loan_Not_Paid*Values_Entered,Beginning_Balance,""), "")</f>
        <v>201240052.27473938</v>
      </c>
      <c r="E252" s="394">
        <f>IFERROR(IF(Loan_Not_Paid*Values_Entered,Monthly_Payment,""), "")</f>
        <v>2207847.2070036912</v>
      </c>
      <c r="F252" s="394">
        <f>IFERROR(IF(Loan_Not_Paid*Values_Entered,Principal,""), "")</f>
        <v>1117796.9238488686</v>
      </c>
      <c r="G252" s="394">
        <f>IFERROR(IF(Loan_Not_Paid*Values_Entered,Interest,""), "")</f>
        <v>1090050.2831548227</v>
      </c>
      <c r="H252" s="394">
        <f>IFERROR(IF(Loan_Not_Paid*Values_Entered,Ending_Balance,""), "")</f>
        <v>200122255.3508904</v>
      </c>
    </row>
    <row r="253" spans="2:8">
      <c r="B253" s="396">
        <f>IFERROR(IF(Loan_Not_Paid*Values_Entered,Payment_Number,""), "")</f>
        <v>236</v>
      </c>
      <c r="C253" s="395"/>
      <c r="D253" s="394">
        <f>IFERROR(IF(Loan_Not_Paid*Values_Entered,Beginning_Balance,""), "")</f>
        <v>200122255.3508904</v>
      </c>
      <c r="E253" s="394">
        <f>IFERROR(IF(Loan_Not_Paid*Values_Entered,Monthly_Payment,""), "")</f>
        <v>2207847.2070036912</v>
      </c>
      <c r="F253" s="394">
        <f>IFERROR(IF(Loan_Not_Paid*Values_Entered,Principal,""), "")</f>
        <v>1123851.6571863834</v>
      </c>
      <c r="G253" s="394">
        <f>IFERROR(IF(Loan_Not_Paid*Values_Entered,Interest,""), "")</f>
        <v>1083995.5498173081</v>
      </c>
      <c r="H253" s="394">
        <f>IFERROR(IF(Loan_Not_Paid*Values_Entered,Ending_Balance,""), "")</f>
        <v>198998403.69370425</v>
      </c>
    </row>
    <row r="254" spans="2:8">
      <c r="B254" s="396">
        <f>IFERROR(IF(Loan_Not_Paid*Values_Entered,Payment_Number,""), "")</f>
        <v>237</v>
      </c>
      <c r="C254" s="395"/>
      <c r="D254" s="394">
        <f>IFERROR(IF(Loan_Not_Paid*Values_Entered,Beginning_Balance,""), "")</f>
        <v>198998403.69370425</v>
      </c>
      <c r="E254" s="394">
        <f>IFERROR(IF(Loan_Not_Paid*Values_Entered,Monthly_Payment,""), "")</f>
        <v>2207847.2070036912</v>
      </c>
      <c r="F254" s="394">
        <f>IFERROR(IF(Loan_Not_Paid*Values_Entered,Principal,""), "")</f>
        <v>1129939.1869961431</v>
      </c>
      <c r="G254" s="394">
        <f>IFERROR(IF(Loan_Not_Paid*Values_Entered,Interest,""), "")</f>
        <v>1077908.0200075482</v>
      </c>
      <c r="H254" s="394">
        <f>IFERROR(IF(Loan_Not_Paid*Values_Entered,Ending_Balance,""), "")</f>
        <v>197868464.50670803</v>
      </c>
    </row>
    <row r="255" spans="2:8">
      <c r="B255" s="396">
        <f>IFERROR(IF(Loan_Not_Paid*Values_Entered,Payment_Number,""), "")</f>
        <v>238</v>
      </c>
      <c r="C255" s="395"/>
      <c r="D255" s="394">
        <f>IFERROR(IF(Loan_Not_Paid*Values_Entered,Beginning_Balance,""), "")</f>
        <v>197868464.50670803</v>
      </c>
      <c r="E255" s="394">
        <f>IFERROR(IF(Loan_Not_Paid*Values_Entered,Monthly_Payment,""), "")</f>
        <v>2207847.2070036912</v>
      </c>
      <c r="F255" s="394">
        <f>IFERROR(IF(Loan_Not_Paid*Values_Entered,Principal,""), "")</f>
        <v>1136059.6909257052</v>
      </c>
      <c r="G255" s="394">
        <f>IFERROR(IF(Loan_Not_Paid*Values_Entered,Interest,""), "")</f>
        <v>1071787.516077986</v>
      </c>
      <c r="H255" s="394">
        <f>IFERROR(IF(Loan_Not_Paid*Values_Entered,Ending_Balance,""), "")</f>
        <v>196732404.81578243</v>
      </c>
    </row>
    <row r="256" spans="2:8">
      <c r="B256" s="396">
        <f>IFERROR(IF(Loan_Not_Paid*Values_Entered,Payment_Number,""), "")</f>
        <v>239</v>
      </c>
      <c r="C256" s="395"/>
      <c r="D256" s="394">
        <f>IFERROR(IF(Loan_Not_Paid*Values_Entered,Beginning_Balance,""), "")</f>
        <v>196732404.81578243</v>
      </c>
      <c r="E256" s="394">
        <f>IFERROR(IF(Loan_Not_Paid*Values_Entered,Monthly_Payment,""), "")</f>
        <v>2207847.2070036912</v>
      </c>
      <c r="F256" s="394">
        <f>IFERROR(IF(Loan_Not_Paid*Values_Entered,Principal,""), "")</f>
        <v>1142213.3475848862</v>
      </c>
      <c r="G256" s="394">
        <f>IFERROR(IF(Loan_Not_Paid*Values_Entered,Interest,""), "")</f>
        <v>1065633.859418805</v>
      </c>
      <c r="H256" s="394">
        <f>IFERROR(IF(Loan_Not_Paid*Values_Entered,Ending_Balance,""), "")</f>
        <v>195590191.46819735</v>
      </c>
    </row>
    <row r="257" spans="2:8">
      <c r="B257" s="396">
        <f>IFERROR(IF(Loan_Not_Paid*Values_Entered,Payment_Number,""), "")</f>
        <v>240</v>
      </c>
      <c r="C257" s="395"/>
      <c r="D257" s="394">
        <f>IFERROR(IF(Loan_Not_Paid*Values_Entered,Beginning_Balance,""), "")</f>
        <v>195590191.46819735</v>
      </c>
      <c r="E257" s="394">
        <f>IFERROR(IF(Loan_Not_Paid*Values_Entered,Monthly_Payment,""), "")</f>
        <v>2207847.2070036912</v>
      </c>
      <c r="F257" s="394">
        <f>IFERROR(IF(Loan_Not_Paid*Values_Entered,Principal,""), "")</f>
        <v>1148400.3365509708</v>
      </c>
      <c r="G257" s="394">
        <f>IFERROR(IF(Loan_Not_Paid*Values_Entered,Interest,""), "")</f>
        <v>1059446.8704527204</v>
      </c>
      <c r="H257" s="394">
        <f>IFERROR(IF(Loan_Not_Paid*Values_Entered,Ending_Balance,""), "")</f>
        <v>194441791.13164663</v>
      </c>
    </row>
    <row r="258" spans="2:8">
      <c r="B258" s="396">
        <f>IFERROR(IF(Loan_Not_Paid*Values_Entered,Payment_Number,""), "")</f>
        <v>241</v>
      </c>
      <c r="C258" s="395"/>
      <c r="D258" s="394">
        <f>IFERROR(IF(Loan_Not_Paid*Values_Entered,Beginning_Balance,""), "")</f>
        <v>194441791.13164663</v>
      </c>
      <c r="E258" s="394">
        <f>IFERROR(IF(Loan_Not_Paid*Values_Entered,Monthly_Payment,""), "")</f>
        <v>2207847.2070036912</v>
      </c>
      <c r="F258" s="394">
        <f>IFERROR(IF(Loan_Not_Paid*Values_Entered,Principal,""), "")</f>
        <v>1154620.8383739556</v>
      </c>
      <c r="G258" s="394">
        <f>IFERROR(IF(Loan_Not_Paid*Values_Entered,Interest,""), "")</f>
        <v>1053226.3686297357</v>
      </c>
      <c r="H258" s="394">
        <f>IFERROR(IF(Loan_Not_Paid*Values_Entered,Ending_Balance,""), "")</f>
        <v>193287170.29327273</v>
      </c>
    </row>
    <row r="259" spans="2:8">
      <c r="B259" s="396">
        <f>IFERROR(IF(Loan_Not_Paid*Values_Entered,Payment_Number,""), "")</f>
        <v>242</v>
      </c>
      <c r="C259" s="395"/>
      <c r="D259" s="394">
        <f>IFERROR(IF(Loan_Not_Paid*Values_Entered,Beginning_Balance,""), "")</f>
        <v>193287170.29327273</v>
      </c>
      <c r="E259" s="394">
        <f>IFERROR(IF(Loan_Not_Paid*Values_Entered,Monthly_Payment,""), "")</f>
        <v>2207847.2070036912</v>
      </c>
      <c r="F259" s="394">
        <f>IFERROR(IF(Loan_Not_Paid*Values_Entered,Principal,""), "")</f>
        <v>1160875.0345818144</v>
      </c>
      <c r="G259" s="394">
        <f>IFERROR(IF(Loan_Not_Paid*Values_Entered,Interest,""), "")</f>
        <v>1046972.1724218769</v>
      </c>
      <c r="H259" s="394">
        <f>IFERROR(IF(Loan_Not_Paid*Values_Entered,Ending_Balance,""), "")</f>
        <v>192126295.25869083</v>
      </c>
    </row>
    <row r="260" spans="2:8">
      <c r="B260" s="396">
        <f>IFERROR(IF(Loan_Not_Paid*Values_Entered,Payment_Number,""), "")</f>
        <v>243</v>
      </c>
      <c r="C260" s="395"/>
      <c r="D260" s="394">
        <f>IFERROR(IF(Loan_Not_Paid*Values_Entered,Beginning_Balance,""), "")</f>
        <v>192126295.25869083</v>
      </c>
      <c r="E260" s="394">
        <f>IFERROR(IF(Loan_Not_Paid*Values_Entered,Monthly_Payment,""), "")</f>
        <v>2207847.2070036912</v>
      </c>
      <c r="F260" s="394">
        <f>IFERROR(IF(Loan_Not_Paid*Values_Entered,Principal,""), "")</f>
        <v>1167163.1076857992</v>
      </c>
      <c r="G260" s="394">
        <f>IFERROR(IF(Loan_Not_Paid*Values_Entered,Interest,""), "")</f>
        <v>1040684.099317892</v>
      </c>
      <c r="H260" s="394">
        <f>IFERROR(IF(Loan_Not_Paid*Values_Entered,Ending_Balance,""), "")</f>
        <v>190959132.15100503</v>
      </c>
    </row>
    <row r="261" spans="2:8">
      <c r="B261" s="396">
        <f>IFERROR(IF(Loan_Not_Paid*Values_Entered,Payment_Number,""), "")</f>
        <v>244</v>
      </c>
      <c r="C261" s="395"/>
      <c r="D261" s="394">
        <f>IFERROR(IF(Loan_Not_Paid*Values_Entered,Beginning_Balance,""), "")</f>
        <v>190959132.15100503</v>
      </c>
      <c r="E261" s="394">
        <f>IFERROR(IF(Loan_Not_Paid*Values_Entered,Monthly_Payment,""), "")</f>
        <v>2207847.2070036912</v>
      </c>
      <c r="F261" s="394">
        <f>IFERROR(IF(Loan_Not_Paid*Values_Entered,Principal,""), "")</f>
        <v>1173485.2411857641</v>
      </c>
      <c r="G261" s="394">
        <f>IFERROR(IF(Loan_Not_Paid*Values_Entered,Interest,""), "")</f>
        <v>1034361.9658179273</v>
      </c>
      <c r="H261" s="394">
        <f>IFERROR(IF(Loan_Not_Paid*Values_Entered,Ending_Balance,""), "")</f>
        <v>189785646.90981936</v>
      </c>
    </row>
    <row r="262" spans="2:8">
      <c r="B262" s="396">
        <f>IFERROR(IF(Loan_Not_Paid*Values_Entered,Payment_Number,""), "")</f>
        <v>245</v>
      </c>
      <c r="C262" s="395"/>
      <c r="D262" s="394">
        <f>IFERROR(IF(Loan_Not_Paid*Values_Entered,Beginning_Balance,""), "")</f>
        <v>189785646.90981936</v>
      </c>
      <c r="E262" s="394">
        <f>IFERROR(IF(Loan_Not_Paid*Values_Entered,Monthly_Payment,""), "")</f>
        <v>2207847.2070036912</v>
      </c>
      <c r="F262" s="394">
        <f>IFERROR(IF(Loan_Not_Paid*Values_Entered,Principal,""), "")</f>
        <v>1179841.6195755203</v>
      </c>
      <c r="G262" s="394">
        <f>IFERROR(IF(Loan_Not_Paid*Values_Entered,Interest,""), "")</f>
        <v>1028005.587428171</v>
      </c>
      <c r="H262" s="394">
        <f>IFERROR(IF(Loan_Not_Paid*Values_Entered,Ending_Balance,""), "")</f>
        <v>188605805.29024363</v>
      </c>
    </row>
    <row r="263" spans="2:8">
      <c r="B263" s="396">
        <f>IFERROR(IF(Loan_Not_Paid*Values_Entered,Payment_Number,""), "")</f>
        <v>246</v>
      </c>
      <c r="C263" s="395"/>
      <c r="D263" s="394">
        <f>IFERROR(IF(Loan_Not_Paid*Values_Entered,Beginning_Balance,""), "")</f>
        <v>188605805.29024363</v>
      </c>
      <c r="E263" s="394">
        <f>IFERROR(IF(Loan_Not_Paid*Values_Entered,Monthly_Payment,""), "")</f>
        <v>2207847.2070036912</v>
      </c>
      <c r="F263" s="394">
        <f>IFERROR(IF(Loan_Not_Paid*Values_Entered,Principal,""), "")</f>
        <v>1186232.4283482211</v>
      </c>
      <c r="G263" s="394">
        <f>IFERROR(IF(Loan_Not_Paid*Values_Entered,Interest,""), "")</f>
        <v>1021614.7786554703</v>
      </c>
      <c r="H263" s="394">
        <f>IFERROR(IF(Loan_Not_Paid*Values_Entered,Ending_Balance,""), "")</f>
        <v>187419572.86189556</v>
      </c>
    </row>
    <row r="264" spans="2:8">
      <c r="B264" s="396">
        <f>IFERROR(IF(Loan_Not_Paid*Values_Entered,Payment_Number,""), "")</f>
        <v>247</v>
      </c>
      <c r="C264" s="395"/>
      <c r="D264" s="394">
        <f>IFERROR(IF(Loan_Not_Paid*Values_Entered,Beginning_Balance,""), "")</f>
        <v>187419572.86189556</v>
      </c>
      <c r="E264" s="394">
        <f>IFERROR(IF(Loan_Not_Paid*Values_Entered,Monthly_Payment,""), "")</f>
        <v>2207847.2070036912</v>
      </c>
      <c r="F264" s="394">
        <f>IFERROR(IF(Loan_Not_Paid*Values_Entered,Principal,""), "")</f>
        <v>1192657.8540017738</v>
      </c>
      <c r="G264" s="394">
        <f>IFERROR(IF(Loan_Not_Paid*Values_Entered,Interest,""), "")</f>
        <v>1015189.3530019175</v>
      </c>
      <c r="H264" s="394">
        <f>IFERROR(IF(Loan_Not_Paid*Values_Entered,Ending_Balance,""), "")</f>
        <v>186226915.00789404</v>
      </c>
    </row>
    <row r="265" spans="2:8">
      <c r="B265" s="396">
        <f>IFERROR(IF(Loan_Not_Paid*Values_Entered,Payment_Number,""), "")</f>
        <v>248</v>
      </c>
      <c r="C265" s="395"/>
      <c r="D265" s="394">
        <f>IFERROR(IF(Loan_Not_Paid*Values_Entered,Beginning_Balance,""), "")</f>
        <v>186226915.00789404</v>
      </c>
      <c r="E265" s="394">
        <f>IFERROR(IF(Loan_Not_Paid*Values_Entered,Monthly_Payment,""), "")</f>
        <v>2207847.2070036912</v>
      </c>
      <c r="F265" s="394">
        <f>IFERROR(IF(Loan_Not_Paid*Values_Entered,Principal,""), "")</f>
        <v>1199118.0840442835</v>
      </c>
      <c r="G265" s="394">
        <f>IFERROR(IF(Loan_Not_Paid*Values_Entered,Interest,""), "")</f>
        <v>1008729.1229594076</v>
      </c>
      <c r="H265" s="394">
        <f>IFERROR(IF(Loan_Not_Paid*Values_Entered,Ending_Balance,""), "")</f>
        <v>185027796.92384958</v>
      </c>
    </row>
    <row r="266" spans="2:8">
      <c r="B266" s="396">
        <f>IFERROR(IF(Loan_Not_Paid*Values_Entered,Payment_Number,""), "")</f>
        <v>249</v>
      </c>
      <c r="C266" s="395"/>
      <c r="D266" s="394">
        <f>IFERROR(IF(Loan_Not_Paid*Values_Entered,Beginning_Balance,""), "")</f>
        <v>185027796.92384958</v>
      </c>
      <c r="E266" s="394">
        <f>IFERROR(IF(Loan_Not_Paid*Values_Entered,Monthly_Payment,""), "")</f>
        <v>2207847.2070036912</v>
      </c>
      <c r="F266" s="394">
        <f>IFERROR(IF(Loan_Not_Paid*Values_Entered,Principal,""), "")</f>
        <v>1205613.306999523</v>
      </c>
      <c r="G266" s="394">
        <f>IFERROR(IF(Loan_Not_Paid*Values_Entered,Interest,""), "")</f>
        <v>1002233.9000041678</v>
      </c>
      <c r="H266" s="394">
        <f>IFERROR(IF(Loan_Not_Paid*Values_Entered,Ending_Balance,""), "")</f>
        <v>183822183.61685014</v>
      </c>
    </row>
    <row r="267" spans="2:8">
      <c r="B267" s="396">
        <f>IFERROR(IF(Loan_Not_Paid*Values_Entered,Payment_Number,""), "")</f>
        <v>250</v>
      </c>
      <c r="C267" s="395"/>
      <c r="D267" s="394">
        <f>IFERROR(IF(Loan_Not_Paid*Values_Entered,Beginning_Balance,""), "")</f>
        <v>183822183.61685014</v>
      </c>
      <c r="E267" s="394">
        <f>IFERROR(IF(Loan_Not_Paid*Values_Entered,Monthly_Payment,""), "")</f>
        <v>2207847.2070036912</v>
      </c>
      <c r="F267" s="394">
        <f>IFERROR(IF(Loan_Not_Paid*Values_Entered,Principal,""), "")</f>
        <v>1212143.7124124374</v>
      </c>
      <c r="G267" s="394">
        <f>IFERROR(IF(Loan_Not_Paid*Values_Entered,Interest,""), "")</f>
        <v>995703.49459125404</v>
      </c>
      <c r="H267" s="394">
        <f>IFERROR(IF(Loan_Not_Paid*Values_Entered,Ending_Balance,""), "")</f>
        <v>182610039.90443754</v>
      </c>
    </row>
    <row r="268" spans="2:8">
      <c r="B268" s="396">
        <f>IFERROR(IF(Loan_Not_Paid*Values_Entered,Payment_Number,""), "")</f>
        <v>251</v>
      </c>
      <c r="C268" s="395"/>
      <c r="D268" s="394">
        <f>IFERROR(IF(Loan_Not_Paid*Values_Entered,Beginning_Balance,""), "")</f>
        <v>182610039.90443754</v>
      </c>
      <c r="E268" s="394">
        <f>IFERROR(IF(Loan_Not_Paid*Values_Entered,Monthly_Payment,""), "")</f>
        <v>2207847.2070036912</v>
      </c>
      <c r="F268" s="394">
        <f>IFERROR(IF(Loan_Not_Paid*Values_Entered,Principal,""), "")</f>
        <v>1218709.4908546715</v>
      </c>
      <c r="G268" s="394">
        <f>IFERROR(IF(Loan_Not_Paid*Values_Entered,Interest,""), "")</f>
        <v>989137.71614901978</v>
      </c>
      <c r="H268" s="394">
        <f>IFERROR(IF(Loan_Not_Paid*Values_Entered,Ending_Balance,""), "")</f>
        <v>181391330.41358304</v>
      </c>
    </row>
    <row r="269" spans="2:8">
      <c r="B269" s="396">
        <f>IFERROR(IF(Loan_Not_Paid*Values_Entered,Payment_Number,""), "")</f>
        <v>252</v>
      </c>
      <c r="C269" s="395"/>
      <c r="D269" s="394">
        <f>IFERROR(IF(Loan_Not_Paid*Values_Entered,Beginning_Balance,""), "")</f>
        <v>181391330.41358304</v>
      </c>
      <c r="E269" s="394">
        <f>IFERROR(IF(Loan_Not_Paid*Values_Entered,Monthly_Payment,""), "")</f>
        <v>2207847.2070036912</v>
      </c>
      <c r="F269" s="394">
        <f>IFERROR(IF(Loan_Not_Paid*Values_Entered,Principal,""), "")</f>
        <v>1225310.8339301341</v>
      </c>
      <c r="G269" s="394">
        <f>IFERROR(IF(Loan_Not_Paid*Values_Entered,Interest,""), "")</f>
        <v>982536.37307355693</v>
      </c>
      <c r="H269" s="394">
        <f>IFERROR(IF(Loan_Not_Paid*Values_Entered,Ending_Balance,""), "")</f>
        <v>180166019.57965302</v>
      </c>
    </row>
    <row r="270" spans="2:8">
      <c r="B270" s="396">
        <f>IFERROR(IF(Loan_Not_Paid*Values_Entered,Payment_Number,""), "")</f>
        <v>253</v>
      </c>
      <c r="C270" s="395"/>
      <c r="D270" s="394">
        <f>IFERROR(IF(Loan_Not_Paid*Values_Entered,Beginning_Balance,""), "")</f>
        <v>180166019.57965302</v>
      </c>
      <c r="E270" s="394">
        <f>IFERROR(IF(Loan_Not_Paid*Values_Entered,Monthly_Payment,""), "")</f>
        <v>2207847.2070036912</v>
      </c>
      <c r="F270" s="394">
        <f>IFERROR(IF(Loan_Not_Paid*Values_Entered,Principal,""), "")</f>
        <v>1231947.934280589</v>
      </c>
      <c r="G270" s="394">
        <f>IFERROR(IF(Loan_Not_Paid*Values_Entered,Interest,""), "")</f>
        <v>975899.27272310213</v>
      </c>
      <c r="H270" s="394">
        <f>IFERROR(IF(Loan_Not_Paid*Values_Entered,Ending_Balance,""), "")</f>
        <v>178934071.64537239</v>
      </c>
    </row>
    <row r="271" spans="2:8">
      <c r="B271" s="396">
        <f>IFERROR(IF(Loan_Not_Paid*Values_Entered,Payment_Number,""), "")</f>
        <v>254</v>
      </c>
      <c r="C271" s="395"/>
      <c r="D271" s="394">
        <f>IFERROR(IF(Loan_Not_Paid*Values_Entered,Beginning_Balance,""), "")</f>
        <v>178934071.64537239</v>
      </c>
      <c r="E271" s="394">
        <f>IFERROR(IF(Loan_Not_Paid*Values_Entered,Monthly_Payment,""), "")</f>
        <v>2207847.2070036912</v>
      </c>
      <c r="F271" s="394">
        <f>IFERROR(IF(Loan_Not_Paid*Values_Entered,Principal,""), "")</f>
        <v>1238620.9855912756</v>
      </c>
      <c r="G271" s="394">
        <f>IFERROR(IF(Loan_Not_Paid*Values_Entered,Interest,""), "")</f>
        <v>969226.22141241562</v>
      </c>
      <c r="H271" s="394">
        <f>IFERROR(IF(Loan_Not_Paid*Values_Entered,Ending_Balance,""), "")</f>
        <v>177695450.65978122</v>
      </c>
    </row>
    <row r="272" spans="2:8">
      <c r="B272" s="396">
        <f>IFERROR(IF(Loan_Not_Paid*Values_Entered,Payment_Number,""), "")</f>
        <v>255</v>
      </c>
      <c r="C272" s="395"/>
      <c r="D272" s="394">
        <f>IFERROR(IF(Loan_Not_Paid*Values_Entered,Beginning_Balance,""), "")</f>
        <v>177695450.65978122</v>
      </c>
      <c r="E272" s="394">
        <f>IFERROR(IF(Loan_Not_Paid*Values_Entered,Monthly_Payment,""), "")</f>
        <v>2207847.2070036912</v>
      </c>
      <c r="F272" s="394">
        <f>IFERROR(IF(Loan_Not_Paid*Values_Entered,Principal,""), "")</f>
        <v>1245330.1825965617</v>
      </c>
      <c r="G272" s="394">
        <f>IFERROR(IF(Loan_Not_Paid*Values_Entered,Interest,""), "")</f>
        <v>962517.02440712939</v>
      </c>
      <c r="H272" s="394">
        <f>IFERROR(IF(Loan_Not_Paid*Values_Entered,Ending_Balance,""), "")</f>
        <v>176450120.47718453</v>
      </c>
    </row>
    <row r="273" spans="2:8">
      <c r="B273" s="396">
        <f>IFERROR(IF(Loan_Not_Paid*Values_Entered,Payment_Number,""), "")</f>
        <v>256</v>
      </c>
      <c r="C273" s="395"/>
      <c r="D273" s="394">
        <f>IFERROR(IF(Loan_Not_Paid*Values_Entered,Beginning_Balance,""), "")</f>
        <v>176450120.47718453</v>
      </c>
      <c r="E273" s="394">
        <f>IFERROR(IF(Loan_Not_Paid*Values_Entered,Monthly_Payment,""), "")</f>
        <v>2207847.2070036912</v>
      </c>
      <c r="F273" s="394">
        <f>IFERROR(IF(Loan_Not_Paid*Values_Entered,Principal,""), "")</f>
        <v>1252075.7210856264</v>
      </c>
      <c r="G273" s="394">
        <f>IFERROR(IF(Loan_Not_Paid*Values_Entered,Interest,""), "")</f>
        <v>955771.48591806483</v>
      </c>
      <c r="H273" s="394">
        <f>IFERROR(IF(Loan_Not_Paid*Values_Entered,Ending_Balance,""), "")</f>
        <v>175198044.75609899</v>
      </c>
    </row>
    <row r="274" spans="2:8">
      <c r="B274" s="396">
        <f>IFERROR(IF(Loan_Not_Paid*Values_Entered,Payment_Number,""), "")</f>
        <v>257</v>
      </c>
      <c r="C274" s="395"/>
      <c r="D274" s="394">
        <f>IFERROR(IF(Loan_Not_Paid*Values_Entered,Beginning_Balance,""), "")</f>
        <v>175198044.75609899</v>
      </c>
      <c r="E274" s="394">
        <f>IFERROR(IF(Loan_Not_Paid*Values_Entered,Monthly_Payment,""), "")</f>
        <v>2207847.2070036912</v>
      </c>
      <c r="F274" s="394">
        <f>IFERROR(IF(Loan_Not_Paid*Values_Entered,Principal,""), "")</f>
        <v>1258857.7979081736</v>
      </c>
      <c r="G274" s="394">
        <f>IFERROR(IF(Loan_Not_Paid*Values_Entered,Interest,""), "")</f>
        <v>948989.40909551759</v>
      </c>
      <c r="H274" s="394">
        <f>IFERROR(IF(Loan_Not_Paid*Values_Entered,Ending_Balance,""), "")</f>
        <v>173939186.95819068</v>
      </c>
    </row>
    <row r="275" spans="2:8">
      <c r="B275" s="396">
        <f>IFERROR(IF(Loan_Not_Paid*Values_Entered,Payment_Number,""), "")</f>
        <v>258</v>
      </c>
      <c r="C275" s="395"/>
      <c r="D275" s="394">
        <f>IFERROR(IF(Loan_Not_Paid*Values_Entered,Beginning_Balance,""), "")</f>
        <v>173939186.95819068</v>
      </c>
      <c r="E275" s="394">
        <f>IFERROR(IF(Loan_Not_Paid*Values_Entered,Monthly_Payment,""), "")</f>
        <v>2207847.2070036912</v>
      </c>
      <c r="F275" s="394">
        <f>IFERROR(IF(Loan_Not_Paid*Values_Entered,Principal,""), "")</f>
        <v>1265676.6109801764</v>
      </c>
      <c r="G275" s="394">
        <f>IFERROR(IF(Loan_Not_Paid*Values_Entered,Interest,""), "")</f>
        <v>942170.59602351498</v>
      </c>
      <c r="H275" s="394">
        <f>IFERROR(IF(Loan_Not_Paid*Values_Entered,Ending_Balance,""), "")</f>
        <v>172673510.34721065</v>
      </c>
    </row>
    <row r="276" spans="2:8">
      <c r="B276" s="396">
        <f>IFERROR(IF(Loan_Not_Paid*Values_Entered,Payment_Number,""), "")</f>
        <v>259</v>
      </c>
      <c r="C276" s="395"/>
      <c r="D276" s="394">
        <f>IFERROR(IF(Loan_Not_Paid*Values_Entered,Beginning_Balance,""), "")</f>
        <v>172673510.34721065</v>
      </c>
      <c r="E276" s="394">
        <f>IFERROR(IF(Loan_Not_Paid*Values_Entered,Monthly_Payment,""), "")</f>
        <v>2207847.2070036912</v>
      </c>
      <c r="F276" s="394">
        <f>IFERROR(IF(Loan_Not_Paid*Values_Entered,Principal,""), "")</f>
        <v>1272532.3592896522</v>
      </c>
      <c r="G276" s="394">
        <f>IFERROR(IF(Loan_Not_Paid*Values_Entered,Interest,""), "")</f>
        <v>935314.84771403915</v>
      </c>
      <c r="H276" s="394">
        <f>IFERROR(IF(Loan_Not_Paid*Values_Entered,Ending_Balance,""), "")</f>
        <v>171400977.98792124</v>
      </c>
    </row>
    <row r="277" spans="2:8">
      <c r="B277" s="396">
        <f>IFERROR(IF(Loan_Not_Paid*Values_Entered,Payment_Number,""), "")</f>
        <v>260</v>
      </c>
      <c r="C277" s="395"/>
      <c r="D277" s="394">
        <f>IFERROR(IF(Loan_Not_Paid*Values_Entered,Beginning_Balance,""), "")</f>
        <v>171400977.98792124</v>
      </c>
      <c r="E277" s="394">
        <f>IFERROR(IF(Loan_Not_Paid*Values_Entered,Monthly_Payment,""), "")</f>
        <v>2207847.2070036912</v>
      </c>
      <c r="F277" s="394">
        <f>IFERROR(IF(Loan_Not_Paid*Values_Entered,Principal,""), "")</f>
        <v>1279425.242902471</v>
      </c>
      <c r="G277" s="394">
        <f>IFERROR(IF(Loan_Not_Paid*Values_Entered,Interest,""), "")</f>
        <v>928421.9641012199</v>
      </c>
      <c r="H277" s="394">
        <f>IFERROR(IF(Loan_Not_Paid*Values_Entered,Ending_Balance,""), "")</f>
        <v>170121552.74501896</v>
      </c>
    </row>
    <row r="278" spans="2:8">
      <c r="B278" s="396">
        <f>IFERROR(IF(Loan_Not_Paid*Values_Entered,Payment_Number,""), "")</f>
        <v>261</v>
      </c>
      <c r="C278" s="395"/>
      <c r="D278" s="394">
        <f>IFERROR(IF(Loan_Not_Paid*Values_Entered,Beginning_Balance,""), "")</f>
        <v>170121552.74501896</v>
      </c>
      <c r="E278" s="394">
        <f>IFERROR(IF(Loan_Not_Paid*Values_Entered,Monthly_Payment,""), "")</f>
        <v>2207847.2070036912</v>
      </c>
      <c r="F278" s="394">
        <f>IFERROR(IF(Loan_Not_Paid*Values_Entered,Principal,""), "")</f>
        <v>1286355.4629681928</v>
      </c>
      <c r="G278" s="394">
        <f>IFERROR(IF(Loan_Not_Paid*Values_Entered,Interest,""), "")</f>
        <v>921491.74403549859</v>
      </c>
      <c r="H278" s="394">
        <f>IFERROR(IF(Loan_Not_Paid*Values_Entered,Ending_Balance,""), "")</f>
        <v>168835197.28205061</v>
      </c>
    </row>
    <row r="279" spans="2:8">
      <c r="B279" s="396">
        <f>IFERROR(IF(Loan_Not_Paid*Values_Entered,Payment_Number,""), "")</f>
        <v>262</v>
      </c>
      <c r="C279" s="395"/>
      <c r="D279" s="394">
        <f>IFERROR(IF(Loan_Not_Paid*Values_Entered,Beginning_Balance,""), "")</f>
        <v>168835197.28205061</v>
      </c>
      <c r="E279" s="394">
        <f>IFERROR(IF(Loan_Not_Paid*Values_Entered,Monthly_Payment,""), "")</f>
        <v>2207847.2070036912</v>
      </c>
      <c r="F279" s="394">
        <f>IFERROR(IF(Loan_Not_Paid*Values_Entered,Principal,""), "")</f>
        <v>1293323.2217259372</v>
      </c>
      <c r="G279" s="394">
        <f>IFERROR(IF(Loan_Not_Paid*Values_Entered,Interest,""), "")</f>
        <v>914523.98527775402</v>
      </c>
      <c r="H279" s="394">
        <f>IFERROR(IF(Loan_Not_Paid*Values_Entered,Ending_Balance,""), "")</f>
        <v>167541874.06032467</v>
      </c>
    </row>
    <row r="280" spans="2:8">
      <c r="B280" s="396">
        <f>IFERROR(IF(Loan_Not_Paid*Values_Entered,Payment_Number,""), "")</f>
        <v>263</v>
      </c>
      <c r="C280" s="395"/>
      <c r="D280" s="394">
        <f>IFERROR(IF(Loan_Not_Paid*Values_Entered,Beginning_Balance,""), "")</f>
        <v>167541874.06032467</v>
      </c>
      <c r="E280" s="394">
        <f>IFERROR(IF(Loan_Not_Paid*Values_Entered,Monthly_Payment,""), "")</f>
        <v>2207847.2070036912</v>
      </c>
      <c r="F280" s="394">
        <f>IFERROR(IF(Loan_Not_Paid*Values_Entered,Principal,""), "")</f>
        <v>1300328.7225102861</v>
      </c>
      <c r="G280" s="394">
        <f>IFERROR(IF(Loan_Not_Paid*Values_Entered,Interest,""), "")</f>
        <v>907518.48449340509</v>
      </c>
      <c r="H280" s="394">
        <f>IFERROR(IF(Loan_Not_Paid*Values_Entered,Ending_Balance,""), "")</f>
        <v>166241545.33781457</v>
      </c>
    </row>
    <row r="281" spans="2:8">
      <c r="B281" s="396">
        <f>IFERROR(IF(Loan_Not_Paid*Values_Entered,Payment_Number,""), "")</f>
        <v>264</v>
      </c>
      <c r="C281" s="395"/>
      <c r="D281" s="394">
        <f>IFERROR(IF(Loan_Not_Paid*Values_Entered,Beginning_Balance,""), "")</f>
        <v>166241545.33781457</v>
      </c>
      <c r="E281" s="394">
        <f>IFERROR(IF(Loan_Not_Paid*Values_Entered,Monthly_Payment,""), "")</f>
        <v>2207847.2070036912</v>
      </c>
      <c r="F281" s="394">
        <f>IFERROR(IF(Loan_Not_Paid*Values_Entered,Principal,""), "")</f>
        <v>1307372.1697572167</v>
      </c>
      <c r="G281" s="394">
        <f>IFERROR(IF(Loan_Not_Paid*Values_Entered,Interest,""), "")</f>
        <v>900475.03724647465</v>
      </c>
      <c r="H281" s="394">
        <f>IFERROR(IF(Loan_Not_Paid*Values_Entered,Ending_Balance,""), "")</f>
        <v>164934173.1680572</v>
      </c>
    </row>
    <row r="282" spans="2:8">
      <c r="B282" s="396">
        <f>IFERROR(IF(Loan_Not_Paid*Values_Entered,Payment_Number,""), "")</f>
        <v>265</v>
      </c>
      <c r="C282" s="395"/>
      <c r="D282" s="394">
        <f>IFERROR(IF(Loan_Not_Paid*Values_Entered,Beginning_Balance,""), "")</f>
        <v>164934173.1680572</v>
      </c>
      <c r="E282" s="394">
        <f>IFERROR(IF(Loan_Not_Paid*Values_Entered,Monthly_Payment,""), "")</f>
        <v>2207847.2070036912</v>
      </c>
      <c r="F282" s="394">
        <f>IFERROR(IF(Loan_Not_Paid*Values_Entered,Principal,""), "")</f>
        <v>1314453.7690100684</v>
      </c>
      <c r="G282" s="394">
        <f>IFERROR(IF(Loan_Not_Paid*Values_Entered,Interest,""), "")</f>
        <v>893393.43799362285</v>
      </c>
      <c r="H282" s="394">
        <f>IFERROR(IF(Loan_Not_Paid*Values_Entered,Ending_Balance,""), "")</f>
        <v>163619719.39904714</v>
      </c>
    </row>
    <row r="283" spans="2:8">
      <c r="B283" s="396">
        <f>IFERROR(IF(Loan_Not_Paid*Values_Entered,Payment_Number,""), "")</f>
        <v>266</v>
      </c>
      <c r="C283" s="395"/>
      <c r="D283" s="394">
        <f>IFERROR(IF(Loan_Not_Paid*Values_Entered,Beginning_Balance,""), "")</f>
        <v>163619719.39904714</v>
      </c>
      <c r="E283" s="394">
        <f>IFERROR(IF(Loan_Not_Paid*Values_Entered,Monthly_Payment,""), "")</f>
        <v>2207847.2070036912</v>
      </c>
      <c r="F283" s="394">
        <f>IFERROR(IF(Loan_Not_Paid*Values_Entered,Principal,""), "")</f>
        <v>1321573.7269255396</v>
      </c>
      <c r="G283" s="394">
        <f>IFERROR(IF(Loan_Not_Paid*Values_Entered,Interest,""), "")</f>
        <v>886273.48007815168</v>
      </c>
      <c r="H283" s="394">
        <f>IFERROR(IF(Loan_Not_Paid*Values_Entered,Ending_Balance,""), "")</f>
        <v>162298145.67212176</v>
      </c>
    </row>
    <row r="284" spans="2:8">
      <c r="B284" s="396">
        <f>IFERROR(IF(Loan_Not_Paid*Values_Entered,Payment_Number,""), "")</f>
        <v>267</v>
      </c>
      <c r="C284" s="395"/>
      <c r="D284" s="394">
        <f>IFERROR(IF(Loan_Not_Paid*Values_Entered,Beginning_Balance,""), "")</f>
        <v>162298145.67212176</v>
      </c>
      <c r="E284" s="394">
        <f>IFERROR(IF(Loan_Not_Paid*Values_Entered,Monthly_Payment,""), "")</f>
        <v>2207847.2070036912</v>
      </c>
      <c r="F284" s="394">
        <f>IFERROR(IF(Loan_Not_Paid*Values_Entered,Principal,""), "")</f>
        <v>1328732.2512797194</v>
      </c>
      <c r="G284" s="394">
        <f>IFERROR(IF(Loan_Not_Paid*Values_Entered,Interest,""), "")</f>
        <v>879114.95572397171</v>
      </c>
      <c r="H284" s="394">
        <f>IFERROR(IF(Loan_Not_Paid*Values_Entered,Ending_Balance,""), "")</f>
        <v>160969413.42084193</v>
      </c>
    </row>
    <row r="285" spans="2:8">
      <c r="B285" s="396">
        <f>IFERROR(IF(Loan_Not_Paid*Values_Entered,Payment_Number,""), "")</f>
        <v>268</v>
      </c>
      <c r="C285" s="395"/>
      <c r="D285" s="394">
        <f>IFERROR(IF(Loan_Not_Paid*Values_Entered,Beginning_Balance,""), "")</f>
        <v>160969413.42084193</v>
      </c>
      <c r="E285" s="394">
        <f>IFERROR(IF(Loan_Not_Paid*Values_Entered,Monthly_Payment,""), "")</f>
        <v>2207847.2070036912</v>
      </c>
      <c r="F285" s="394">
        <f>IFERROR(IF(Loan_Not_Paid*Values_Entered,Principal,""), "")</f>
        <v>1335929.5509741514</v>
      </c>
      <c r="G285" s="394">
        <f>IFERROR(IF(Loan_Not_Paid*Values_Entered,Interest,""), "")</f>
        <v>871917.65602953988</v>
      </c>
      <c r="H285" s="394">
        <f>IFERROR(IF(Loan_Not_Paid*Values_Entered,Ending_Balance,""), "")</f>
        <v>159633483.86986804</v>
      </c>
    </row>
    <row r="286" spans="2:8">
      <c r="B286" s="396">
        <f>IFERROR(IF(Loan_Not_Paid*Values_Entered,Payment_Number,""), "")</f>
        <v>269</v>
      </c>
      <c r="C286" s="395"/>
      <c r="D286" s="394">
        <f>IFERROR(IF(Loan_Not_Paid*Values_Entered,Beginning_Balance,""), "")</f>
        <v>159633483.86986804</v>
      </c>
      <c r="E286" s="394">
        <f>IFERROR(IF(Loan_Not_Paid*Values_Entered,Monthly_Payment,""), "")</f>
        <v>2207847.2070036912</v>
      </c>
      <c r="F286" s="394">
        <f>IFERROR(IF(Loan_Not_Paid*Values_Entered,Principal,""), "")</f>
        <v>1343165.836041928</v>
      </c>
      <c r="G286" s="394">
        <f>IFERROR(IF(Loan_Not_Paid*Values_Entered,Interest,""), "")</f>
        <v>864681.37096176331</v>
      </c>
      <c r="H286" s="394">
        <f>IFERROR(IF(Loan_Not_Paid*Values_Entered,Ending_Balance,""), "")</f>
        <v>158290318.03382611</v>
      </c>
    </row>
    <row r="287" spans="2:8">
      <c r="B287" s="396">
        <f>IFERROR(IF(Loan_Not_Paid*Values_Entered,Payment_Number,""), "")</f>
        <v>270</v>
      </c>
      <c r="C287" s="395"/>
      <c r="D287" s="394">
        <f>IFERROR(IF(Loan_Not_Paid*Values_Entered,Beginning_Balance,""), "")</f>
        <v>158290318.03382611</v>
      </c>
      <c r="E287" s="394">
        <f>IFERROR(IF(Loan_Not_Paid*Values_Entered,Monthly_Payment,""), "")</f>
        <v>2207847.2070036912</v>
      </c>
      <c r="F287" s="394">
        <f>IFERROR(IF(Loan_Not_Paid*Values_Entered,Principal,""), "")</f>
        <v>1350441.3176538218</v>
      </c>
      <c r="G287" s="394">
        <f>IFERROR(IF(Loan_Not_Paid*Values_Entered,Interest,""), "")</f>
        <v>857405.88934986957</v>
      </c>
      <c r="H287" s="394">
        <f>IFERROR(IF(Loan_Not_Paid*Values_Entered,Ending_Balance,""), "")</f>
        <v>156939876.71617222</v>
      </c>
    </row>
    <row r="288" spans="2:8">
      <c r="B288" s="396">
        <f>IFERROR(IF(Loan_Not_Paid*Values_Entered,Payment_Number,""), "")</f>
        <v>271</v>
      </c>
      <c r="C288" s="395"/>
      <c r="D288" s="394">
        <f>IFERROR(IF(Loan_Not_Paid*Values_Entered,Beginning_Balance,""), "")</f>
        <v>156939876.71617222</v>
      </c>
      <c r="E288" s="394">
        <f>IFERROR(IF(Loan_Not_Paid*Values_Entered,Monthly_Payment,""), "")</f>
        <v>2207847.2070036912</v>
      </c>
      <c r="F288" s="394">
        <f>IFERROR(IF(Loan_Not_Paid*Values_Entered,Principal,""), "")</f>
        <v>1357756.2081244469</v>
      </c>
      <c r="G288" s="394">
        <f>IFERROR(IF(Loan_Not_Paid*Values_Entered,Interest,""), "")</f>
        <v>850090.99887924455</v>
      </c>
      <c r="H288" s="394">
        <f>IFERROR(IF(Loan_Not_Paid*Values_Entered,Ending_Balance,""), "")</f>
        <v>155582120.50804782</v>
      </c>
    </row>
    <row r="289" spans="2:8">
      <c r="B289" s="396">
        <f>IFERROR(IF(Loan_Not_Paid*Values_Entered,Payment_Number,""), "")</f>
        <v>272</v>
      </c>
      <c r="C289" s="395"/>
      <c r="D289" s="394">
        <f>IFERROR(IF(Loan_Not_Paid*Values_Entered,Beginning_Balance,""), "")</f>
        <v>155582120.50804782</v>
      </c>
      <c r="E289" s="394">
        <f>IFERROR(IF(Loan_Not_Paid*Values_Entered,Monthly_Payment,""), "")</f>
        <v>2207847.2070036912</v>
      </c>
      <c r="F289" s="394">
        <f>IFERROR(IF(Loan_Not_Paid*Values_Entered,Principal,""), "")</f>
        <v>1365110.7209184542</v>
      </c>
      <c r="G289" s="394">
        <f>IFERROR(IF(Loan_Not_Paid*Values_Entered,Interest,""), "")</f>
        <v>842736.48608523712</v>
      </c>
      <c r="H289" s="394">
        <f>IFERROR(IF(Loan_Not_Paid*Values_Entered,Ending_Balance,""), "")</f>
        <v>154217009.78712916</v>
      </c>
    </row>
    <row r="290" spans="2:8">
      <c r="B290" s="396">
        <f>IFERROR(IF(Loan_Not_Paid*Values_Entered,Payment_Number,""), "")</f>
        <v>273</v>
      </c>
      <c r="C290" s="395"/>
      <c r="D290" s="394">
        <f>IFERROR(IF(Loan_Not_Paid*Values_Entered,Beginning_Balance,""), "")</f>
        <v>154217009.78712916</v>
      </c>
      <c r="E290" s="394">
        <f>IFERROR(IF(Loan_Not_Paid*Values_Entered,Monthly_Payment,""), "")</f>
        <v>2207847.2070036912</v>
      </c>
      <c r="F290" s="394">
        <f>IFERROR(IF(Loan_Not_Paid*Values_Entered,Principal,""), "")</f>
        <v>1372505.0706567622</v>
      </c>
      <c r="G290" s="394">
        <f>IFERROR(IF(Loan_Not_Paid*Values_Entered,Interest,""), "")</f>
        <v>835342.13634692901</v>
      </c>
      <c r="H290" s="394">
        <f>IFERROR(IF(Loan_Not_Paid*Values_Entered,Ending_Balance,""), "")</f>
        <v>152844504.71647263</v>
      </c>
    </row>
    <row r="291" spans="2:8">
      <c r="B291" s="396">
        <f>IFERROR(IF(Loan_Not_Paid*Values_Entered,Payment_Number,""), "")</f>
        <v>274</v>
      </c>
      <c r="C291" s="395"/>
      <c r="D291" s="394">
        <f>IFERROR(IF(Loan_Not_Paid*Values_Entered,Beginning_Balance,""), "")</f>
        <v>152844504.71647263</v>
      </c>
      <c r="E291" s="394">
        <f>IFERROR(IF(Loan_Not_Paid*Values_Entered,Monthly_Payment,""), "")</f>
        <v>2207847.2070036912</v>
      </c>
      <c r="F291" s="394">
        <f>IFERROR(IF(Loan_Not_Paid*Values_Entered,Principal,""), "")</f>
        <v>1379939.47312282</v>
      </c>
      <c r="G291" s="394">
        <f>IFERROR(IF(Loan_Not_Paid*Values_Entered,Interest,""), "")</f>
        <v>827907.73388087132</v>
      </c>
      <c r="H291" s="394">
        <f>IFERROR(IF(Loan_Not_Paid*Values_Entered,Ending_Balance,""), "")</f>
        <v>151464565.24335003</v>
      </c>
    </row>
    <row r="292" spans="2:8">
      <c r="B292" s="396">
        <f>IFERROR(IF(Loan_Not_Paid*Values_Entered,Payment_Number,""), "")</f>
        <v>275</v>
      </c>
      <c r="C292" s="395"/>
      <c r="D292" s="394">
        <f>IFERROR(IF(Loan_Not_Paid*Values_Entered,Beginning_Balance,""), "")</f>
        <v>151464565.24335003</v>
      </c>
      <c r="E292" s="394">
        <f>IFERROR(IF(Loan_Not_Paid*Values_Entered,Monthly_Payment,""), "")</f>
        <v>2207847.2070036912</v>
      </c>
      <c r="F292" s="394">
        <f>IFERROR(IF(Loan_Not_Paid*Values_Entered,Principal,""), "")</f>
        <v>1387414.1452689017</v>
      </c>
      <c r="G292" s="394">
        <f>IFERROR(IF(Loan_Not_Paid*Values_Entered,Interest,""), "")</f>
        <v>820433.06173478963</v>
      </c>
      <c r="H292" s="394">
        <f>IFERROR(IF(Loan_Not_Paid*Values_Entered,Ending_Balance,""), "")</f>
        <v>150077151.09808111</v>
      </c>
    </row>
    <row r="293" spans="2:8">
      <c r="B293" s="396">
        <f>IFERROR(IF(Loan_Not_Paid*Values_Entered,Payment_Number,""), "")</f>
        <v>276</v>
      </c>
      <c r="C293" s="395"/>
      <c r="D293" s="394">
        <f>IFERROR(IF(Loan_Not_Paid*Values_Entered,Beginning_Balance,""), "")</f>
        <v>150077151.09808111</v>
      </c>
      <c r="E293" s="394">
        <f>IFERROR(IF(Loan_Not_Paid*Values_Entered,Monthly_Payment,""), "")</f>
        <v>2207847.2070036912</v>
      </c>
      <c r="F293" s="394">
        <f>IFERROR(IF(Loan_Not_Paid*Values_Entered,Principal,""), "")</f>
        <v>1394929.3052224417</v>
      </c>
      <c r="G293" s="394">
        <f>IFERROR(IF(Loan_Not_Paid*Values_Entered,Interest,""), "")</f>
        <v>812917.90178124967</v>
      </c>
      <c r="H293" s="394">
        <f>IFERROR(IF(Loan_Not_Paid*Values_Entered,Ending_Balance,""), "")</f>
        <v>148682221.79285836</v>
      </c>
    </row>
    <row r="294" spans="2:8">
      <c r="B294" s="396">
        <f>IFERROR(IF(Loan_Not_Paid*Values_Entered,Payment_Number,""), "")</f>
        <v>277</v>
      </c>
      <c r="C294" s="395"/>
      <c r="D294" s="394">
        <f>IFERROR(IF(Loan_Not_Paid*Values_Entered,Beginning_Balance,""), "")</f>
        <v>148682221.79285836</v>
      </c>
      <c r="E294" s="394">
        <f>IFERROR(IF(Loan_Not_Paid*Values_Entered,Monthly_Payment,""), "")</f>
        <v>2207847.2070036912</v>
      </c>
      <c r="F294" s="394">
        <f>IFERROR(IF(Loan_Not_Paid*Values_Entered,Principal,""), "")</f>
        <v>1402485.1722923967</v>
      </c>
      <c r="G294" s="394">
        <f>IFERROR(IF(Loan_Not_Paid*Values_Entered,Interest,""), "")</f>
        <v>805362.03471129481</v>
      </c>
      <c r="H294" s="394">
        <f>IFERROR(IF(Loan_Not_Paid*Values_Entered,Ending_Balance,""), "")</f>
        <v>147279736.62056637</v>
      </c>
    </row>
    <row r="295" spans="2:8">
      <c r="B295" s="396">
        <f>IFERROR(IF(Loan_Not_Paid*Values_Entered,Payment_Number,""), "")</f>
        <v>278</v>
      </c>
      <c r="C295" s="395"/>
      <c r="D295" s="394">
        <f>IFERROR(IF(Loan_Not_Paid*Values_Entered,Beginning_Balance,""), "")</f>
        <v>147279736.62056637</v>
      </c>
      <c r="E295" s="394">
        <f>IFERROR(IF(Loan_Not_Paid*Values_Entered,Monthly_Payment,""), "")</f>
        <v>2207847.2070036912</v>
      </c>
      <c r="F295" s="394">
        <f>IFERROR(IF(Loan_Not_Paid*Values_Entered,Principal,""), "")</f>
        <v>1410081.966975647</v>
      </c>
      <c r="G295" s="394">
        <f>IFERROR(IF(Loan_Not_Paid*Values_Entered,Interest,""), "")</f>
        <v>797765.24002804409</v>
      </c>
      <c r="H295" s="394">
        <f>IFERROR(IF(Loan_Not_Paid*Values_Entered,Ending_Balance,""), "")</f>
        <v>145869654.65359068</v>
      </c>
    </row>
    <row r="296" spans="2:8">
      <c r="B296" s="396">
        <f>IFERROR(IF(Loan_Not_Paid*Values_Entered,Payment_Number,""), "")</f>
        <v>279</v>
      </c>
      <c r="C296" s="395"/>
      <c r="D296" s="394">
        <f>IFERROR(IF(Loan_Not_Paid*Values_Entered,Beginning_Balance,""), "")</f>
        <v>145869654.65359068</v>
      </c>
      <c r="E296" s="394">
        <f>IFERROR(IF(Loan_Not_Paid*Values_Entered,Monthly_Payment,""), "")</f>
        <v>2207847.2070036912</v>
      </c>
      <c r="F296" s="394">
        <f>IFERROR(IF(Loan_Not_Paid*Values_Entered,Principal,""), "")</f>
        <v>1417719.9109634317</v>
      </c>
      <c r="G296" s="394">
        <f>IFERROR(IF(Loan_Not_Paid*Values_Entered,Interest,""), "")</f>
        <v>790127.29604025942</v>
      </c>
      <c r="H296" s="394">
        <f>IFERROR(IF(Loan_Not_Paid*Values_Entered,Ending_Balance,""), "")</f>
        <v>144451934.74262738</v>
      </c>
    </row>
    <row r="297" spans="2:8">
      <c r="B297" s="396">
        <f>IFERROR(IF(Loan_Not_Paid*Values_Entered,Payment_Number,""), "")</f>
        <v>280</v>
      </c>
      <c r="C297" s="395"/>
      <c r="D297" s="394">
        <f>IFERROR(IF(Loan_Not_Paid*Values_Entered,Beginning_Balance,""), "")</f>
        <v>144451934.74262738</v>
      </c>
      <c r="E297" s="394">
        <f>IFERROR(IF(Loan_Not_Paid*Values_Entered,Monthly_Payment,""), "")</f>
        <v>2207847.2070036912</v>
      </c>
      <c r="F297" s="394">
        <f>IFERROR(IF(Loan_Not_Paid*Values_Entered,Principal,""), "")</f>
        <v>1425399.2271478169</v>
      </c>
      <c r="G297" s="394">
        <f>IFERROR(IF(Loan_Not_Paid*Values_Entered,Interest,""), "")</f>
        <v>782447.97985587409</v>
      </c>
      <c r="H297" s="394">
        <f>IFERROR(IF(Loan_Not_Paid*Values_Entered,Ending_Balance,""), "")</f>
        <v>143026535.51547956</v>
      </c>
    </row>
    <row r="298" spans="2:8">
      <c r="B298" s="396">
        <f>IFERROR(IF(Loan_Not_Paid*Values_Entered,Payment_Number,""), "")</f>
        <v>281</v>
      </c>
      <c r="C298" s="395"/>
      <c r="D298" s="394">
        <f>IFERROR(IF(Loan_Not_Paid*Values_Entered,Beginning_Balance,""), "")</f>
        <v>143026535.51547956</v>
      </c>
      <c r="E298" s="394">
        <f>IFERROR(IF(Loan_Not_Paid*Values_Entered,Monthly_Payment,""), "")</f>
        <v>2207847.2070036912</v>
      </c>
      <c r="F298" s="394">
        <f>IFERROR(IF(Loan_Not_Paid*Values_Entered,Principal,""), "")</f>
        <v>1433120.139628201</v>
      </c>
      <c r="G298" s="394">
        <f>IFERROR(IF(Loan_Not_Paid*Values_Entered,Interest,""), "")</f>
        <v>774727.06737549009</v>
      </c>
      <c r="H298" s="394">
        <f>IFERROR(IF(Loan_Not_Paid*Values_Entered,Ending_Balance,""), "")</f>
        <v>141593415.37585139</v>
      </c>
    </row>
    <row r="299" spans="2:8">
      <c r="B299" s="396">
        <f>IFERROR(IF(Loan_Not_Paid*Values_Entered,Payment_Number,""), "")</f>
        <v>282</v>
      </c>
      <c r="C299" s="395"/>
      <c r="D299" s="394">
        <f>IFERROR(IF(Loan_Not_Paid*Values_Entered,Beginning_Balance,""), "")</f>
        <v>141593415.37585139</v>
      </c>
      <c r="E299" s="394">
        <f>IFERROR(IF(Loan_Not_Paid*Values_Entered,Monthly_Payment,""), "")</f>
        <v>2207847.2070036912</v>
      </c>
      <c r="F299" s="394">
        <f>IFERROR(IF(Loan_Not_Paid*Values_Entered,Principal,""), "")</f>
        <v>1440882.8737178538</v>
      </c>
      <c r="G299" s="394">
        <f>IFERROR(IF(Loan_Not_Paid*Values_Entered,Interest,""), "")</f>
        <v>766964.33328583732</v>
      </c>
      <c r="H299" s="394">
        <f>IFERROR(IF(Loan_Not_Paid*Values_Entered,Ending_Balance,""), "")</f>
        <v>140152532.50213361</v>
      </c>
    </row>
    <row r="300" spans="2:8">
      <c r="B300" s="396">
        <f>IFERROR(IF(Loan_Not_Paid*Values_Entered,Payment_Number,""), "")</f>
        <v>283</v>
      </c>
      <c r="C300" s="395"/>
      <c r="D300" s="394">
        <f>IFERROR(IF(Loan_Not_Paid*Values_Entered,Beginning_Balance,""), "")</f>
        <v>140152532.50213361</v>
      </c>
      <c r="E300" s="394">
        <f>IFERROR(IF(Loan_Not_Paid*Values_Entered,Monthly_Payment,""), "")</f>
        <v>2207847.2070036912</v>
      </c>
      <c r="F300" s="394">
        <f>IFERROR(IF(Loan_Not_Paid*Values_Entered,Principal,""), "")</f>
        <v>1448687.655950492</v>
      </c>
      <c r="G300" s="394">
        <f>IFERROR(IF(Loan_Not_Paid*Values_Entered,Interest,""), "")</f>
        <v>759159.55105319899</v>
      </c>
      <c r="H300" s="394">
        <f>IFERROR(IF(Loan_Not_Paid*Values_Entered,Ending_Balance,""), "")</f>
        <v>138703844.84618306</v>
      </c>
    </row>
    <row r="301" spans="2:8">
      <c r="B301" s="396">
        <f>IFERROR(IF(Loan_Not_Paid*Values_Entered,Payment_Number,""), "")</f>
        <v>284</v>
      </c>
      <c r="C301" s="395"/>
      <c r="D301" s="394">
        <f>IFERROR(IF(Loan_Not_Paid*Values_Entered,Beginning_Balance,""), "")</f>
        <v>138703844.84618306</v>
      </c>
      <c r="E301" s="394">
        <f>IFERROR(IF(Loan_Not_Paid*Values_Entered,Monthly_Payment,""), "")</f>
        <v>2207847.2070036912</v>
      </c>
      <c r="F301" s="394">
        <f>IFERROR(IF(Loan_Not_Paid*Values_Entered,Principal,""), "")</f>
        <v>1456534.7140868905</v>
      </c>
      <c r="G301" s="394">
        <f>IFERROR(IF(Loan_Not_Paid*Values_Entered,Interest,""), "")</f>
        <v>751312.49291680043</v>
      </c>
      <c r="H301" s="394">
        <f>IFERROR(IF(Loan_Not_Paid*Values_Entered,Ending_Balance,""), "")</f>
        <v>137247310.13209653</v>
      </c>
    </row>
    <row r="302" spans="2:8">
      <c r="B302" s="396">
        <f>IFERROR(IF(Loan_Not_Paid*Values_Entered,Payment_Number,""), "")</f>
        <v>285</v>
      </c>
      <c r="C302" s="395"/>
      <c r="D302" s="394">
        <f>IFERROR(IF(Loan_Not_Paid*Values_Entered,Beginning_Balance,""), "")</f>
        <v>137247310.13209653</v>
      </c>
      <c r="E302" s="394">
        <f>IFERROR(IF(Loan_Not_Paid*Values_Entered,Monthly_Payment,""), "")</f>
        <v>2207847.2070036912</v>
      </c>
      <c r="F302" s="394">
        <f>IFERROR(IF(Loan_Not_Paid*Values_Entered,Principal,""), "")</f>
        <v>1464424.2771215281</v>
      </c>
      <c r="G302" s="394">
        <f>IFERROR(IF(Loan_Not_Paid*Values_Entered,Interest,""), "")</f>
        <v>743422.9298821633</v>
      </c>
      <c r="H302" s="394">
        <f>IFERROR(IF(Loan_Not_Paid*Values_Entered,Ending_Balance,""), "")</f>
        <v>135782885.85497475</v>
      </c>
    </row>
    <row r="303" spans="2:8">
      <c r="B303" s="396">
        <f>IFERROR(IF(Loan_Not_Paid*Values_Entered,Payment_Number,""), "")</f>
        <v>286</v>
      </c>
      <c r="C303" s="395"/>
      <c r="D303" s="394">
        <f>IFERROR(IF(Loan_Not_Paid*Values_Entered,Beginning_Balance,""), "")</f>
        <v>135782885.85497475</v>
      </c>
      <c r="E303" s="394">
        <f>IFERROR(IF(Loan_Not_Paid*Values_Entered,Monthly_Payment,""), "")</f>
        <v>2207847.2070036912</v>
      </c>
      <c r="F303" s="394">
        <f>IFERROR(IF(Loan_Not_Paid*Values_Entered,Principal,""), "")</f>
        <v>1472356.5752892694</v>
      </c>
      <c r="G303" s="394">
        <f>IFERROR(IF(Loan_Not_Paid*Values_Entered,Interest,""), "")</f>
        <v>735490.63171442156</v>
      </c>
      <c r="H303" s="394">
        <f>IFERROR(IF(Loan_Not_Paid*Values_Entered,Ending_Balance,""), "")</f>
        <v>134310529.2796855</v>
      </c>
    </row>
    <row r="304" spans="2:8">
      <c r="B304" s="396">
        <f>IFERROR(IF(Loan_Not_Paid*Values_Entered,Payment_Number,""), "")</f>
        <v>287</v>
      </c>
      <c r="C304" s="395"/>
      <c r="D304" s="394">
        <f>IFERROR(IF(Loan_Not_Paid*Values_Entered,Beginning_Balance,""), "")</f>
        <v>134310529.2796855</v>
      </c>
      <c r="E304" s="394">
        <f>IFERROR(IF(Loan_Not_Paid*Values_Entered,Monthly_Payment,""), "")</f>
        <v>2207847.2070036912</v>
      </c>
      <c r="F304" s="394">
        <f>IFERROR(IF(Loan_Not_Paid*Values_Entered,Principal,""), "")</f>
        <v>1480331.8400720865</v>
      </c>
      <c r="G304" s="394">
        <f>IFERROR(IF(Loan_Not_Paid*Values_Entered,Interest,""), "")</f>
        <v>727515.3669316048</v>
      </c>
      <c r="H304" s="394">
        <f>IFERROR(IF(Loan_Not_Paid*Values_Entered,Ending_Balance,""), "")</f>
        <v>132830197.43961334</v>
      </c>
    </row>
    <row r="305" spans="2:8">
      <c r="B305" s="396">
        <f>IFERROR(IF(Loan_Not_Paid*Values_Entered,Payment_Number,""), "")</f>
        <v>288</v>
      </c>
      <c r="C305" s="395"/>
      <c r="D305" s="394">
        <f>IFERROR(IF(Loan_Not_Paid*Values_Entered,Beginning_Balance,""), "")</f>
        <v>132830197.43961334</v>
      </c>
      <c r="E305" s="394">
        <f>IFERROR(IF(Loan_Not_Paid*Values_Entered,Monthly_Payment,""), "")</f>
        <v>2207847.2070036912</v>
      </c>
      <c r="F305" s="394">
        <f>IFERROR(IF(Loan_Not_Paid*Values_Entered,Principal,""), "")</f>
        <v>1488350.3042058102</v>
      </c>
      <c r="G305" s="394">
        <f>IFERROR(IF(Loan_Not_Paid*Values_Entered,Interest,""), "")</f>
        <v>719496.90279788082</v>
      </c>
      <c r="H305" s="394">
        <f>IFERROR(IF(Loan_Not_Paid*Values_Entered,Ending_Balance,""), "")</f>
        <v>131341847.13540745</v>
      </c>
    </row>
    <row r="306" spans="2:8">
      <c r="B306" s="396">
        <f>IFERROR(IF(Loan_Not_Paid*Values_Entered,Payment_Number,""), "")</f>
        <v>289</v>
      </c>
      <c r="C306" s="395"/>
      <c r="D306" s="394">
        <f>IFERROR(IF(Loan_Not_Paid*Values_Entered,Beginning_Balance,""), "")</f>
        <v>131341847.13540745</v>
      </c>
      <c r="E306" s="394">
        <f>IFERROR(IF(Loan_Not_Paid*Values_Entered,Monthly_Payment,""), "")</f>
        <v>2207847.2070036912</v>
      </c>
      <c r="F306" s="394">
        <f>IFERROR(IF(Loan_Not_Paid*Values_Entered,Principal,""), "")</f>
        <v>1496412.201686925</v>
      </c>
      <c r="G306" s="394">
        <f>IFERROR(IF(Loan_Not_Paid*Values_Entered,Interest,""), "")</f>
        <v>711435.0053167661</v>
      </c>
      <c r="H306" s="394">
        <f>IFERROR(IF(Loan_Not_Paid*Values_Entered,Ending_Balance,""), "")</f>
        <v>129845434.93372083</v>
      </c>
    </row>
    <row r="307" spans="2:8">
      <c r="B307" s="396">
        <f>IFERROR(IF(Loan_Not_Paid*Values_Entered,Payment_Number,""), "")</f>
        <v>290</v>
      </c>
      <c r="C307" s="395"/>
      <c r="D307" s="394">
        <f>IFERROR(IF(Loan_Not_Paid*Values_Entered,Beginning_Balance,""), "")</f>
        <v>129845434.93372083</v>
      </c>
      <c r="E307" s="394">
        <f>IFERROR(IF(Loan_Not_Paid*Values_Entered,Monthly_Payment,""), "")</f>
        <v>2207847.2070036912</v>
      </c>
      <c r="F307" s="394">
        <f>IFERROR(IF(Loan_Not_Paid*Values_Entered,Principal,""), "")</f>
        <v>1504517.7677793959</v>
      </c>
      <c r="G307" s="394">
        <f>IFERROR(IF(Loan_Not_Paid*Values_Entered,Interest,""), "")</f>
        <v>703329.4392242952</v>
      </c>
      <c r="H307" s="394">
        <f>IFERROR(IF(Loan_Not_Paid*Values_Entered,Ending_Balance,""), "")</f>
        <v>128340917.16594148</v>
      </c>
    </row>
    <row r="308" spans="2:8">
      <c r="B308" s="396">
        <f>IFERROR(IF(Loan_Not_Paid*Values_Entered,Payment_Number,""), "")</f>
        <v>291</v>
      </c>
      <c r="C308" s="395"/>
      <c r="D308" s="394">
        <f>IFERROR(IF(Loan_Not_Paid*Values_Entered,Beginning_Balance,""), "")</f>
        <v>128340917.16594148</v>
      </c>
      <c r="E308" s="394">
        <f>IFERROR(IF(Loan_Not_Paid*Values_Entered,Monthly_Payment,""), "")</f>
        <v>2207847.2070036912</v>
      </c>
      <c r="F308" s="394">
        <f>IFERROR(IF(Loan_Not_Paid*Values_Entered,Principal,""), "")</f>
        <v>1512667.2390215343</v>
      </c>
      <c r="G308" s="394">
        <f>IFERROR(IF(Loan_Not_Paid*Values_Entered,Interest,""), "")</f>
        <v>695179.9679821569</v>
      </c>
      <c r="H308" s="394">
        <f>IFERROR(IF(Loan_Not_Paid*Values_Entered,Ending_Balance,""), "")</f>
        <v>126828249.92692018</v>
      </c>
    </row>
    <row r="309" spans="2:8">
      <c r="B309" s="396">
        <f>IFERROR(IF(Loan_Not_Paid*Values_Entered,Payment_Number,""), "")</f>
        <v>292</v>
      </c>
      <c r="C309" s="395"/>
      <c r="D309" s="394">
        <f>IFERROR(IF(Loan_Not_Paid*Values_Entered,Beginning_Balance,""), "")</f>
        <v>126828249.92692018</v>
      </c>
      <c r="E309" s="394">
        <f>IFERROR(IF(Loan_Not_Paid*Values_Entered,Monthly_Payment,""), "")</f>
        <v>2207847.2070036912</v>
      </c>
      <c r="F309" s="394">
        <f>IFERROR(IF(Loan_Not_Paid*Values_Entered,Principal,""), "")</f>
        <v>1520860.8532329011</v>
      </c>
      <c r="G309" s="394">
        <f>IFERROR(IF(Loan_Not_Paid*Values_Entered,Interest,""), "")</f>
        <v>686986.35377079016</v>
      </c>
      <c r="H309" s="394">
        <f>IFERROR(IF(Loan_Not_Paid*Values_Entered,Ending_Balance,""), "")</f>
        <v>125307389.07368708</v>
      </c>
    </row>
    <row r="310" spans="2:8">
      <c r="B310" s="396">
        <f>IFERROR(IF(Loan_Not_Paid*Values_Entered,Payment_Number,""), "")</f>
        <v>293</v>
      </c>
      <c r="C310" s="395"/>
      <c r="D310" s="394">
        <f>IFERROR(IF(Loan_Not_Paid*Values_Entered,Beginning_Balance,""), "")</f>
        <v>125307389.07368708</v>
      </c>
      <c r="E310" s="394">
        <f>IFERROR(IF(Loan_Not_Paid*Values_Entered,Monthly_Payment,""), "")</f>
        <v>2207847.2070036912</v>
      </c>
      <c r="F310" s="394">
        <f>IFERROR(IF(Loan_Not_Paid*Values_Entered,Principal,""), "")</f>
        <v>1529098.849521246</v>
      </c>
      <c r="G310" s="394">
        <f>IFERROR(IF(Loan_Not_Paid*Values_Entered,Interest,""), "")</f>
        <v>678748.35748244543</v>
      </c>
      <c r="H310" s="394">
        <f>IFERROR(IF(Loan_Not_Paid*Values_Entered,Ending_Balance,""), "")</f>
        <v>123778290.22416592</v>
      </c>
    </row>
    <row r="311" spans="2:8">
      <c r="B311" s="396">
        <f>IFERROR(IF(Loan_Not_Paid*Values_Entered,Payment_Number,""), "")</f>
        <v>294</v>
      </c>
      <c r="C311" s="395"/>
      <c r="D311" s="394">
        <f>IFERROR(IF(Loan_Not_Paid*Values_Entered,Beginning_Balance,""), "")</f>
        <v>123778290.22416592</v>
      </c>
      <c r="E311" s="394">
        <f>IFERROR(IF(Loan_Not_Paid*Values_Entered,Monthly_Payment,""), "")</f>
        <v>2207847.2070036912</v>
      </c>
      <c r="F311" s="394">
        <f>IFERROR(IF(Loan_Not_Paid*Values_Entered,Principal,""), "")</f>
        <v>1537381.4682894859</v>
      </c>
      <c r="G311" s="394">
        <f>IFERROR(IF(Loan_Not_Paid*Values_Entered,Interest,""), "")</f>
        <v>670465.73871420522</v>
      </c>
      <c r="H311" s="394">
        <f>IFERROR(IF(Loan_Not_Paid*Values_Entered,Ending_Balance,""), "")</f>
        <v>122240908.75587654</v>
      </c>
    </row>
    <row r="312" spans="2:8">
      <c r="B312" s="396">
        <f>IFERROR(IF(Loan_Not_Paid*Values_Entered,Payment_Number,""), "")</f>
        <v>295</v>
      </c>
      <c r="C312" s="395"/>
      <c r="D312" s="394">
        <f>IFERROR(IF(Loan_Not_Paid*Values_Entered,Beginning_Balance,""), "")</f>
        <v>122240908.75587654</v>
      </c>
      <c r="E312" s="394">
        <f>IFERROR(IF(Loan_Not_Paid*Values_Entered,Monthly_Payment,""), "")</f>
        <v>2207847.2070036912</v>
      </c>
      <c r="F312" s="394">
        <f>IFERROR(IF(Loan_Not_Paid*Values_Entered,Principal,""), "")</f>
        <v>1545708.9512427207</v>
      </c>
      <c r="G312" s="394">
        <f>IFERROR(IF(Loan_Not_Paid*Values_Entered,Interest,""), "")</f>
        <v>662138.25576097053</v>
      </c>
      <c r="H312" s="394">
        <f>IFERROR(IF(Loan_Not_Paid*Values_Entered,Ending_Balance,""), "")</f>
        <v>120695199.80463386</v>
      </c>
    </row>
    <row r="313" spans="2:8">
      <c r="B313" s="396">
        <f>IFERROR(IF(Loan_Not_Paid*Values_Entered,Payment_Number,""), "")</f>
        <v>296</v>
      </c>
      <c r="C313" s="395"/>
      <c r="D313" s="394">
        <f>IFERROR(IF(Loan_Not_Paid*Values_Entered,Beginning_Balance,""), "")</f>
        <v>120695199.80463386</v>
      </c>
      <c r="E313" s="394">
        <f>IFERROR(IF(Loan_Not_Paid*Values_Entered,Monthly_Payment,""), "")</f>
        <v>2207847.2070036912</v>
      </c>
      <c r="F313" s="394">
        <f>IFERROR(IF(Loan_Not_Paid*Values_Entered,Principal,""), "")</f>
        <v>1554081.5413952856</v>
      </c>
      <c r="G313" s="394">
        <f>IFERROR(IF(Loan_Not_Paid*Values_Entered,Interest,""), "")</f>
        <v>653765.66560840583</v>
      </c>
      <c r="H313" s="394">
        <f>IFERROR(IF(Loan_Not_Paid*Values_Entered,Ending_Balance,""), "")</f>
        <v>119141118.26323843</v>
      </c>
    </row>
    <row r="314" spans="2:8">
      <c r="B314" s="396">
        <f>IFERROR(IF(Loan_Not_Paid*Values_Entered,Payment_Number,""), "")</f>
        <v>297</v>
      </c>
      <c r="C314" s="395"/>
      <c r="D314" s="394">
        <f>IFERROR(IF(Loan_Not_Paid*Values_Entered,Beginning_Balance,""), "")</f>
        <v>119141118.26323843</v>
      </c>
      <c r="E314" s="394">
        <f>IFERROR(IF(Loan_Not_Paid*Values_Entered,Monthly_Payment,""), "")</f>
        <v>2207847.2070036912</v>
      </c>
      <c r="F314" s="394">
        <f>IFERROR(IF(Loan_Not_Paid*Values_Entered,Principal,""), "")</f>
        <v>1562499.4830778432</v>
      </c>
      <c r="G314" s="394">
        <f>IFERROR(IF(Loan_Not_Paid*Values_Entered,Interest,""), "")</f>
        <v>645347.72392584803</v>
      </c>
      <c r="H314" s="394">
        <f>IFERROR(IF(Loan_Not_Paid*Values_Entered,Ending_Balance,""), "")</f>
        <v>117578618.7801609</v>
      </c>
    </row>
    <row r="315" spans="2:8">
      <c r="B315" s="396">
        <f>IFERROR(IF(Loan_Not_Paid*Values_Entered,Payment_Number,""), "")</f>
        <v>298</v>
      </c>
      <c r="C315" s="395"/>
      <c r="D315" s="394">
        <f>IFERROR(IF(Loan_Not_Paid*Values_Entered,Beginning_Balance,""), "")</f>
        <v>117578618.7801609</v>
      </c>
      <c r="E315" s="394">
        <f>IFERROR(IF(Loan_Not_Paid*Values_Entered,Monthly_Payment,""), "")</f>
        <v>2207847.2070036912</v>
      </c>
      <c r="F315" s="394">
        <f>IFERROR(IF(Loan_Not_Paid*Values_Entered,Principal,""), "")</f>
        <v>1570963.0219445147</v>
      </c>
      <c r="G315" s="394">
        <f>IFERROR(IF(Loan_Not_Paid*Values_Entered,Interest,""), "")</f>
        <v>636884.18505917629</v>
      </c>
      <c r="H315" s="394">
        <f>IFERROR(IF(Loan_Not_Paid*Values_Entered,Ending_Balance,""), "")</f>
        <v>116007655.75821614</v>
      </c>
    </row>
    <row r="316" spans="2:8">
      <c r="B316" s="396">
        <f>IFERROR(IF(Loan_Not_Paid*Values_Entered,Payment_Number,""), "")</f>
        <v>299</v>
      </c>
      <c r="C316" s="395"/>
      <c r="D316" s="394">
        <f>IFERROR(IF(Loan_Not_Paid*Values_Entered,Beginning_Balance,""), "")</f>
        <v>116007655.75821614</v>
      </c>
      <c r="E316" s="394">
        <f>IFERROR(IF(Loan_Not_Paid*Values_Entered,Monthly_Payment,""), "")</f>
        <v>2207847.2070036912</v>
      </c>
      <c r="F316" s="394">
        <f>IFERROR(IF(Loan_Not_Paid*Values_Entered,Principal,""), "")</f>
        <v>1579472.4049800476</v>
      </c>
      <c r="G316" s="394">
        <f>IFERROR(IF(Loan_Not_Paid*Values_Entered,Interest,""), "")</f>
        <v>628374.80202364363</v>
      </c>
      <c r="H316" s="394">
        <f>IFERROR(IF(Loan_Not_Paid*Values_Entered,Ending_Balance,""), "")</f>
        <v>114428183.35323596</v>
      </c>
    </row>
    <row r="317" spans="2:8">
      <c r="B317" s="396">
        <f>IFERROR(IF(Loan_Not_Paid*Values_Entered,Payment_Number,""), "")</f>
        <v>300</v>
      </c>
      <c r="C317" s="395"/>
      <c r="D317" s="394">
        <f>IFERROR(IF(Loan_Not_Paid*Values_Entered,Beginning_Balance,""), "")</f>
        <v>114428183.35323596</v>
      </c>
      <c r="E317" s="394">
        <f>IFERROR(IF(Loan_Not_Paid*Values_Entered,Monthly_Payment,""), "")</f>
        <v>2207847.2070036912</v>
      </c>
      <c r="F317" s="394">
        <f>IFERROR(IF(Loan_Not_Paid*Values_Entered,Principal,""), "")</f>
        <v>1588027.8805070233</v>
      </c>
      <c r="G317" s="394">
        <f>IFERROR(IF(Loan_Not_Paid*Values_Entered,Interest,""), "")</f>
        <v>619819.32649666828</v>
      </c>
      <c r="H317" s="394">
        <f>IFERROR(IF(Loan_Not_Paid*Values_Entered,Ending_Balance,""), "")</f>
        <v>112840155.47272944</v>
      </c>
    </row>
    <row r="318" spans="2:8">
      <c r="B318" s="396">
        <f>IFERROR(IF(Loan_Not_Paid*Values_Entered,Payment_Number,""), "")</f>
        <v>301</v>
      </c>
      <c r="C318" s="395"/>
      <c r="D318" s="394">
        <f>IFERROR(IF(Loan_Not_Paid*Values_Entered,Beginning_Balance,""), "")</f>
        <v>112840155.47272944</v>
      </c>
      <c r="E318" s="394">
        <f>IFERROR(IF(Loan_Not_Paid*Values_Entered,Monthly_Payment,""), "")</f>
        <v>2207847.2070036912</v>
      </c>
      <c r="F318" s="394">
        <f>IFERROR(IF(Loan_Not_Paid*Values_Entered,Principal,""), "")</f>
        <v>1596629.6981931028</v>
      </c>
      <c r="G318" s="394">
        <f>IFERROR(IF(Loan_Not_Paid*Values_Entered,Interest,""), "")</f>
        <v>611217.50881058862</v>
      </c>
      <c r="H318" s="394">
        <f>IFERROR(IF(Loan_Not_Paid*Values_Entered,Ending_Balance,""), "")</f>
        <v>111243525.77453637</v>
      </c>
    </row>
    <row r="319" spans="2:8">
      <c r="B319" s="396">
        <f>IFERROR(IF(Loan_Not_Paid*Values_Entered,Payment_Number,""), "")</f>
        <v>302</v>
      </c>
      <c r="C319" s="395"/>
      <c r="D319" s="394">
        <f>IFERROR(IF(Loan_Not_Paid*Values_Entered,Beginning_Balance,""), "")</f>
        <v>111243525.77453637</v>
      </c>
      <c r="E319" s="394">
        <f>IFERROR(IF(Loan_Not_Paid*Values_Entered,Monthly_Payment,""), "")</f>
        <v>2207847.2070036912</v>
      </c>
      <c r="F319" s="394">
        <f>IFERROR(IF(Loan_Not_Paid*Values_Entered,Principal,""), "")</f>
        <v>1605278.1090583152</v>
      </c>
      <c r="G319" s="394">
        <f>IFERROR(IF(Loan_Not_Paid*Values_Entered,Interest,""), "")</f>
        <v>602569.09794537595</v>
      </c>
      <c r="H319" s="394">
        <f>IFERROR(IF(Loan_Not_Paid*Values_Entered,Ending_Balance,""), "")</f>
        <v>109638247.66547799</v>
      </c>
    </row>
    <row r="320" spans="2:8">
      <c r="B320" s="396">
        <f>IFERROR(IF(Loan_Not_Paid*Values_Entered,Payment_Number,""), "")</f>
        <v>303</v>
      </c>
      <c r="C320" s="395"/>
      <c r="D320" s="394">
        <f>IFERROR(IF(Loan_Not_Paid*Values_Entered,Beginning_Balance,""), "")</f>
        <v>109638247.66547799</v>
      </c>
      <c r="E320" s="394">
        <f>IFERROR(IF(Loan_Not_Paid*Values_Entered,Monthly_Payment,""), "")</f>
        <v>2207847.2070036912</v>
      </c>
      <c r="F320" s="394">
        <f>IFERROR(IF(Loan_Not_Paid*Values_Entered,Principal,""), "")</f>
        <v>1613973.3654823811</v>
      </c>
      <c r="G320" s="394">
        <f>IFERROR(IF(Loan_Not_Paid*Values_Entered,Interest,""), "")</f>
        <v>593873.84152131004</v>
      </c>
      <c r="H320" s="394">
        <f>IFERROR(IF(Loan_Not_Paid*Values_Entered,Ending_Balance,""), "")</f>
        <v>108024274.29999566</v>
      </c>
    </row>
    <row r="321" spans="2:8">
      <c r="B321" s="396">
        <f>IFERROR(IF(Loan_Not_Paid*Values_Entered,Payment_Number,""), "")</f>
        <v>304</v>
      </c>
      <c r="C321" s="395"/>
      <c r="D321" s="394">
        <f>IFERROR(IF(Loan_Not_Paid*Values_Entered,Beginning_Balance,""), "")</f>
        <v>108024274.29999566</v>
      </c>
      <c r="E321" s="394">
        <f>IFERROR(IF(Loan_Not_Paid*Values_Entered,Monthly_Payment,""), "")</f>
        <v>2207847.2070036912</v>
      </c>
      <c r="F321" s="394">
        <f>IFERROR(IF(Loan_Not_Paid*Values_Entered,Principal,""), "")</f>
        <v>1622715.7212120774</v>
      </c>
      <c r="G321" s="394">
        <f>IFERROR(IF(Loan_Not_Paid*Values_Entered,Interest,""), "")</f>
        <v>585131.48579161393</v>
      </c>
      <c r="H321" s="394">
        <f>IFERROR(IF(Loan_Not_Paid*Values_Entered,Ending_Balance,""), "")</f>
        <v>106401558.57878351</v>
      </c>
    </row>
    <row r="322" spans="2:8">
      <c r="B322" s="396">
        <f>IFERROR(IF(Loan_Not_Paid*Values_Entered,Payment_Number,""), "")</f>
        <v>305</v>
      </c>
      <c r="C322" s="395"/>
      <c r="D322" s="394">
        <f>IFERROR(IF(Loan_Not_Paid*Values_Entered,Beginning_Balance,""), "")</f>
        <v>106401558.57878351</v>
      </c>
      <c r="E322" s="394">
        <f>IFERROR(IF(Loan_Not_Paid*Values_Entered,Monthly_Payment,""), "")</f>
        <v>2207847.2070036912</v>
      </c>
      <c r="F322" s="394">
        <f>IFERROR(IF(Loan_Not_Paid*Values_Entered,Principal,""), "")</f>
        <v>1631505.4313686425</v>
      </c>
      <c r="G322" s="394">
        <f>IFERROR(IF(Loan_Not_Paid*Values_Entered,Interest,""), "")</f>
        <v>576341.77563504851</v>
      </c>
      <c r="H322" s="394">
        <f>IFERROR(IF(Loan_Not_Paid*Values_Entered,Ending_Balance,""), "")</f>
        <v>104770053.14741492</v>
      </c>
    </row>
    <row r="323" spans="2:8">
      <c r="B323" s="396">
        <f>IFERROR(IF(Loan_Not_Paid*Values_Entered,Payment_Number,""), "")</f>
        <v>306</v>
      </c>
      <c r="C323" s="395"/>
      <c r="D323" s="394">
        <f>IFERROR(IF(Loan_Not_Paid*Values_Entered,Beginning_Balance,""), "")</f>
        <v>104770053.14741492</v>
      </c>
      <c r="E323" s="394">
        <f>IFERROR(IF(Loan_Not_Paid*Values_Entered,Monthly_Payment,""), "")</f>
        <v>2207847.2070036912</v>
      </c>
      <c r="F323" s="394">
        <f>IFERROR(IF(Loan_Not_Paid*Values_Entered,Principal,""), "")</f>
        <v>1640342.7524552231</v>
      </c>
      <c r="G323" s="394">
        <f>IFERROR(IF(Loan_Not_Paid*Values_Entered,Interest,""), "")</f>
        <v>567504.45454846835</v>
      </c>
      <c r="H323" s="394">
        <f>IFERROR(IF(Loan_Not_Paid*Values_Entered,Ending_Balance,""), "")</f>
        <v>103129710.39495993</v>
      </c>
    </row>
    <row r="324" spans="2:8">
      <c r="B324" s="396">
        <f>IFERROR(IF(Loan_Not_Paid*Values_Entered,Payment_Number,""), "")</f>
        <v>307</v>
      </c>
      <c r="C324" s="395"/>
      <c r="D324" s="394">
        <f>IFERROR(IF(Loan_Not_Paid*Values_Entered,Beginning_Balance,""), "")</f>
        <v>103129710.39495993</v>
      </c>
      <c r="E324" s="394">
        <f>IFERROR(IF(Loan_Not_Paid*Values_Entered,Monthly_Payment,""), "")</f>
        <v>2207847.2070036912</v>
      </c>
      <c r="F324" s="394">
        <f>IFERROR(IF(Loan_Not_Paid*Values_Entered,Principal,""), "")</f>
        <v>1649227.9423643553</v>
      </c>
      <c r="G324" s="394">
        <f>IFERROR(IF(Loan_Not_Paid*Values_Entered,Interest,""), "")</f>
        <v>558619.2646393358</v>
      </c>
      <c r="H324" s="394">
        <f>IFERROR(IF(Loan_Not_Paid*Values_Entered,Ending_Balance,""), "")</f>
        <v>101480482.45259547</v>
      </c>
    </row>
    <row r="325" spans="2:8">
      <c r="B325" s="396">
        <f>IFERROR(IF(Loan_Not_Paid*Values_Entered,Payment_Number,""), "")</f>
        <v>308</v>
      </c>
      <c r="C325" s="395"/>
      <c r="D325" s="394">
        <f>IFERROR(IF(Loan_Not_Paid*Values_Entered,Beginning_Balance,""), "")</f>
        <v>101480482.45259547</v>
      </c>
      <c r="E325" s="394">
        <f>IFERROR(IF(Loan_Not_Paid*Values_Entered,Monthly_Payment,""), "")</f>
        <v>2207847.2070036912</v>
      </c>
      <c r="F325" s="394">
        <f>IFERROR(IF(Loan_Not_Paid*Values_Entered,Principal,""), "")</f>
        <v>1658161.2603854958</v>
      </c>
      <c r="G325" s="394">
        <f>IFERROR(IF(Loan_Not_Paid*Values_Entered,Interest,""), "")</f>
        <v>549685.94661819551</v>
      </c>
      <c r="H325" s="394">
        <f>IFERROR(IF(Loan_Not_Paid*Values_Entered,Ending_Balance,""), "")</f>
        <v>99822321.192210197</v>
      </c>
    </row>
    <row r="326" spans="2:8">
      <c r="B326" s="396">
        <f>IFERROR(IF(Loan_Not_Paid*Values_Entered,Payment_Number,""), "")</f>
        <v>309</v>
      </c>
      <c r="C326" s="395"/>
      <c r="D326" s="394">
        <f>IFERROR(IF(Loan_Not_Paid*Values_Entered,Beginning_Balance,""), "")</f>
        <v>99822321.192210197</v>
      </c>
      <c r="E326" s="394">
        <f>IFERROR(IF(Loan_Not_Paid*Values_Entered,Monthly_Payment,""), "")</f>
        <v>2207847.2070036912</v>
      </c>
      <c r="F326" s="394">
        <f>IFERROR(IF(Loan_Not_Paid*Values_Entered,Principal,""), "")</f>
        <v>1667142.9672125836</v>
      </c>
      <c r="G326" s="394">
        <f>IFERROR(IF(Loan_Not_Paid*Values_Entered,Interest,""), "")</f>
        <v>540704.23979110748</v>
      </c>
      <c r="H326" s="394">
        <f>IFERROR(IF(Loan_Not_Paid*Values_Entered,Ending_Balance,""), "")</f>
        <v>98155178.22499752</v>
      </c>
    </row>
    <row r="327" spans="2:8">
      <c r="B327" s="396">
        <f>IFERROR(IF(Loan_Not_Paid*Values_Entered,Payment_Number,""), "")</f>
        <v>310</v>
      </c>
      <c r="C327" s="395"/>
      <c r="D327" s="394">
        <f>IFERROR(IF(Loan_Not_Paid*Values_Entered,Beginning_Balance,""), "")</f>
        <v>98155178.22499752</v>
      </c>
      <c r="E327" s="394">
        <f>IFERROR(IF(Loan_Not_Paid*Values_Entered,Monthly_Payment,""), "")</f>
        <v>2207847.2070036912</v>
      </c>
      <c r="F327" s="394">
        <f>IFERROR(IF(Loan_Not_Paid*Values_Entered,Principal,""), "")</f>
        <v>1676173.324951652</v>
      </c>
      <c r="G327" s="394">
        <f>IFERROR(IF(Loan_Not_Paid*Values_Entered,Interest,""), "")</f>
        <v>531673.88205203938</v>
      </c>
      <c r="H327" s="394">
        <f>IFERROR(IF(Loan_Not_Paid*Values_Entered,Ending_Balance,""), "")</f>
        <v>96479004.900045872</v>
      </c>
    </row>
    <row r="328" spans="2:8">
      <c r="B328" s="396">
        <f>IFERROR(IF(Loan_Not_Paid*Values_Entered,Payment_Number,""), "")</f>
        <v>311</v>
      </c>
      <c r="C328" s="395"/>
      <c r="D328" s="394">
        <f>IFERROR(IF(Loan_Not_Paid*Values_Entered,Beginning_Balance,""), "")</f>
        <v>96479004.900045872</v>
      </c>
      <c r="E328" s="394">
        <f>IFERROR(IF(Loan_Not_Paid*Values_Entered,Monthly_Payment,""), "")</f>
        <v>2207847.2070036912</v>
      </c>
      <c r="F328" s="394">
        <f>IFERROR(IF(Loan_Not_Paid*Values_Entered,Principal,""), "")</f>
        <v>1685252.5971284735</v>
      </c>
      <c r="G328" s="394">
        <f>IFERROR(IF(Loan_Not_Paid*Values_Entered,Interest,""), "")</f>
        <v>522594.6098752179</v>
      </c>
      <c r="H328" s="394">
        <f>IFERROR(IF(Loan_Not_Paid*Values_Entered,Ending_Balance,""), "")</f>
        <v>94793752.302917719</v>
      </c>
    </row>
    <row r="329" spans="2:8">
      <c r="B329" s="396">
        <f>IFERROR(IF(Loan_Not_Paid*Values_Entered,Payment_Number,""), "")</f>
        <v>312</v>
      </c>
      <c r="C329" s="395"/>
      <c r="D329" s="394">
        <f>IFERROR(IF(Loan_Not_Paid*Values_Entered,Beginning_Balance,""), "")</f>
        <v>94793752.302917719</v>
      </c>
      <c r="E329" s="394">
        <f>IFERROR(IF(Loan_Not_Paid*Values_Entered,Monthly_Payment,""), "")</f>
        <v>2207847.2070036912</v>
      </c>
      <c r="F329" s="394">
        <f>IFERROR(IF(Loan_Not_Paid*Values_Entered,Principal,""), "")</f>
        <v>1694381.0486962525</v>
      </c>
      <c r="G329" s="394">
        <f>IFERROR(IF(Loan_Not_Paid*Values_Entered,Interest,""), "")</f>
        <v>513466.1583074386</v>
      </c>
      <c r="H329" s="394">
        <f>IFERROR(IF(Loan_Not_Paid*Values_Entered,Ending_Balance,""), "")</f>
        <v>93099371.254221201</v>
      </c>
    </row>
    <row r="330" spans="2:8">
      <c r="B330" s="396">
        <f>IFERROR(IF(Loan_Not_Paid*Values_Entered,Payment_Number,""), "")</f>
        <v>313</v>
      </c>
      <c r="C330" s="395"/>
      <c r="D330" s="394">
        <f>IFERROR(IF(Loan_Not_Paid*Values_Entered,Beginning_Balance,""), "")</f>
        <v>93099371.254221201</v>
      </c>
      <c r="E330" s="394">
        <f>IFERROR(IF(Loan_Not_Paid*Values_Entered,Monthly_Payment,""), "")</f>
        <v>2207847.2070036912</v>
      </c>
      <c r="F330" s="394">
        <f>IFERROR(IF(Loan_Not_Paid*Values_Entered,Principal,""), "")</f>
        <v>1703558.9460433573</v>
      </c>
      <c r="G330" s="394">
        <f>IFERROR(IF(Loan_Not_Paid*Values_Entered,Interest,""), "")</f>
        <v>504288.26096033381</v>
      </c>
      <c r="H330" s="394">
        <f>IFERROR(IF(Loan_Not_Paid*Values_Entered,Ending_Balance,""), "")</f>
        <v>91395812.308178186</v>
      </c>
    </row>
    <row r="331" spans="2:8">
      <c r="B331" s="396">
        <f>IFERROR(IF(Loan_Not_Paid*Values_Entered,Payment_Number,""), "")</f>
        <v>314</v>
      </c>
      <c r="C331" s="395"/>
      <c r="D331" s="394">
        <f>IFERROR(IF(Loan_Not_Paid*Values_Entered,Beginning_Balance,""), "")</f>
        <v>91395812.308178186</v>
      </c>
      <c r="E331" s="394">
        <f>IFERROR(IF(Loan_Not_Paid*Values_Entered,Monthly_Payment,""), "")</f>
        <v>2207847.2070036912</v>
      </c>
      <c r="F331" s="394">
        <f>IFERROR(IF(Loan_Not_Paid*Values_Entered,Principal,""), "")</f>
        <v>1712786.5570010922</v>
      </c>
      <c r="G331" s="394">
        <f>IFERROR(IF(Loan_Not_Paid*Values_Entered,Interest,""), "")</f>
        <v>495060.65000259911</v>
      </c>
      <c r="H331" s="394">
        <f>IFERROR(IF(Loan_Not_Paid*Values_Entered,Ending_Balance,""), "")</f>
        <v>89683025.751176834</v>
      </c>
    </row>
    <row r="332" spans="2:8">
      <c r="B332" s="396">
        <f>IFERROR(IF(Loan_Not_Paid*Values_Entered,Payment_Number,""), "")</f>
        <v>315</v>
      </c>
      <c r="C332" s="395"/>
      <c r="D332" s="394">
        <f>IFERROR(IF(Loan_Not_Paid*Values_Entered,Beginning_Balance,""), "")</f>
        <v>89683025.751176834</v>
      </c>
      <c r="E332" s="394">
        <f>IFERROR(IF(Loan_Not_Paid*Values_Entered,Monthly_Payment,""), "")</f>
        <v>2207847.2070036912</v>
      </c>
      <c r="F332" s="394">
        <f>IFERROR(IF(Loan_Not_Paid*Values_Entered,Principal,""), "")</f>
        <v>1722064.1508515147</v>
      </c>
      <c r="G332" s="394">
        <f>IFERROR(IF(Loan_Not_Paid*Values_Entered,Interest,""), "")</f>
        <v>485783.05615217646</v>
      </c>
      <c r="H332" s="394">
        <f>IFERROR(IF(Loan_Not_Paid*Values_Entered,Ending_Balance,""), "")</f>
        <v>87960961.600325346</v>
      </c>
    </row>
    <row r="333" spans="2:8">
      <c r="B333" s="396">
        <f>IFERROR(IF(Loan_Not_Paid*Values_Entered,Payment_Number,""), "")</f>
        <v>316</v>
      </c>
      <c r="C333" s="395"/>
      <c r="D333" s="394">
        <f>IFERROR(IF(Loan_Not_Paid*Values_Entered,Beginning_Balance,""), "")</f>
        <v>87960961.600325346</v>
      </c>
      <c r="E333" s="394">
        <f>IFERROR(IF(Loan_Not_Paid*Values_Entered,Monthly_Payment,""), "")</f>
        <v>2207847.2070036912</v>
      </c>
      <c r="F333" s="394">
        <f>IFERROR(IF(Loan_Not_Paid*Values_Entered,Principal,""), "")</f>
        <v>1731391.998335294</v>
      </c>
      <c r="G333" s="394">
        <f>IFERROR(IF(Loan_Not_Paid*Values_Entered,Interest,""), "")</f>
        <v>476455.20866839739</v>
      </c>
      <c r="H333" s="394">
        <f>IFERROR(IF(Loan_Not_Paid*Values_Entered,Ending_Balance,""), "")</f>
        <v>86229569.601990223</v>
      </c>
    </row>
    <row r="334" spans="2:8">
      <c r="B334" s="396">
        <f>IFERROR(IF(Loan_Not_Paid*Values_Entered,Payment_Number,""), "")</f>
        <v>317</v>
      </c>
      <c r="C334" s="395"/>
      <c r="D334" s="394">
        <f>IFERROR(IF(Loan_Not_Paid*Values_Entered,Beginning_Balance,""), "")</f>
        <v>86229569.601990223</v>
      </c>
      <c r="E334" s="394">
        <f>IFERROR(IF(Loan_Not_Paid*Values_Entered,Monthly_Payment,""), "")</f>
        <v>2207847.2070036912</v>
      </c>
      <c r="F334" s="394">
        <f>IFERROR(IF(Loan_Not_Paid*Values_Entered,Principal,""), "")</f>
        <v>1740770.3716596102</v>
      </c>
      <c r="G334" s="394">
        <f>IFERROR(IF(Loan_Not_Paid*Values_Entered,Interest,""), "")</f>
        <v>467076.83534408128</v>
      </c>
      <c r="H334" s="394">
        <f>IFERROR(IF(Loan_Not_Paid*Values_Entered,Ending_Balance,""), "")</f>
        <v>84488799.230330944</v>
      </c>
    </row>
    <row r="335" spans="2:8">
      <c r="B335" s="396">
        <f>IFERROR(IF(Loan_Not_Paid*Values_Entered,Payment_Number,""), "")</f>
        <v>318</v>
      </c>
      <c r="C335" s="395"/>
      <c r="D335" s="394">
        <f>IFERROR(IF(Loan_Not_Paid*Values_Entered,Beginning_Balance,""), "")</f>
        <v>84488799.230330944</v>
      </c>
      <c r="E335" s="394">
        <f>IFERROR(IF(Loan_Not_Paid*Values_Entered,Monthly_Payment,""), "")</f>
        <v>2207847.2070036912</v>
      </c>
      <c r="F335" s="394">
        <f>IFERROR(IF(Loan_Not_Paid*Values_Entered,Principal,""), "")</f>
        <v>1750199.5445060995</v>
      </c>
      <c r="G335" s="394">
        <f>IFERROR(IF(Loan_Not_Paid*Values_Entered,Interest,""), "")</f>
        <v>457647.66249759163</v>
      </c>
      <c r="H335" s="394">
        <f>IFERROR(IF(Loan_Not_Paid*Values_Entered,Ending_Balance,""), "")</f>
        <v>82738599.685824633</v>
      </c>
    </row>
    <row r="336" spans="2:8">
      <c r="B336" s="396">
        <f>IFERROR(IF(Loan_Not_Paid*Values_Entered,Payment_Number,""), "")</f>
        <v>319</v>
      </c>
      <c r="C336" s="395"/>
      <c r="D336" s="394">
        <f>IFERROR(IF(Loan_Not_Paid*Values_Entered,Beginning_Balance,""), "")</f>
        <v>82738599.685824633</v>
      </c>
      <c r="E336" s="394">
        <f>IFERROR(IF(Loan_Not_Paid*Values_Entered,Monthly_Payment,""), "")</f>
        <v>2207847.2070036912</v>
      </c>
      <c r="F336" s="394">
        <f>IFERROR(IF(Loan_Not_Paid*Values_Entered,Principal,""), "")</f>
        <v>1759679.7920388407</v>
      </c>
      <c r="G336" s="394">
        <f>IFERROR(IF(Loan_Not_Paid*Values_Entered,Interest,""), "")</f>
        <v>448167.41496485029</v>
      </c>
      <c r="H336" s="394">
        <f>IFERROR(IF(Loan_Not_Paid*Values_Entered,Ending_Balance,""), "")</f>
        <v>80978919.893785715</v>
      </c>
    </row>
    <row r="337" spans="2:8">
      <c r="B337" s="396">
        <f>IFERROR(IF(Loan_Not_Paid*Values_Entered,Payment_Number,""), "")</f>
        <v>320</v>
      </c>
      <c r="C337" s="395"/>
      <c r="D337" s="394">
        <f>IFERROR(IF(Loan_Not_Paid*Values_Entered,Beginning_Balance,""), "")</f>
        <v>80978919.893785715</v>
      </c>
      <c r="E337" s="394">
        <f>IFERROR(IF(Loan_Not_Paid*Values_Entered,Monthly_Payment,""), "")</f>
        <v>2207847.2070036912</v>
      </c>
      <c r="F337" s="394">
        <f>IFERROR(IF(Loan_Not_Paid*Values_Entered,Principal,""), "")</f>
        <v>1769211.3909123845</v>
      </c>
      <c r="G337" s="394">
        <f>IFERROR(IF(Loan_Not_Paid*Values_Entered,Interest,""), "")</f>
        <v>438635.81609130651</v>
      </c>
      <c r="H337" s="394">
        <f>IFERROR(IF(Loan_Not_Paid*Values_Entered,Ending_Balance,""), "")</f>
        <v>79209708.502873659</v>
      </c>
    </row>
    <row r="338" spans="2:8">
      <c r="B338" s="396">
        <f>IFERROR(IF(Loan_Not_Paid*Values_Entered,Payment_Number,""), "")</f>
        <v>321</v>
      </c>
      <c r="C338" s="395"/>
      <c r="D338" s="394">
        <f>IFERROR(IF(Loan_Not_Paid*Values_Entered,Beginning_Balance,""), "")</f>
        <v>79209708.502873659</v>
      </c>
      <c r="E338" s="394">
        <f>IFERROR(IF(Loan_Not_Paid*Values_Entered,Monthly_Payment,""), "")</f>
        <v>2207847.2070036912</v>
      </c>
      <c r="F338" s="394">
        <f>IFERROR(IF(Loan_Not_Paid*Values_Entered,Principal,""), "")</f>
        <v>1778794.6192798268</v>
      </c>
      <c r="G338" s="394">
        <f>IFERROR(IF(Loan_Not_Paid*Values_Entered,Interest,""), "")</f>
        <v>429052.58772386453</v>
      </c>
      <c r="H338" s="394">
        <f>IFERROR(IF(Loan_Not_Paid*Values_Entered,Ending_Balance,""), "")</f>
        <v>77430913.883593798</v>
      </c>
    </row>
    <row r="339" spans="2:8">
      <c r="B339" s="396">
        <f>IFERROR(IF(Loan_Not_Paid*Values_Entered,Payment_Number,""), "")</f>
        <v>322</v>
      </c>
      <c r="C339" s="395"/>
      <c r="D339" s="394">
        <f>IFERROR(IF(Loan_Not_Paid*Values_Entered,Beginning_Balance,""), "")</f>
        <v>77430913.883593798</v>
      </c>
      <c r="E339" s="394">
        <f>IFERROR(IF(Loan_Not_Paid*Values_Entered,Monthly_Payment,""), "")</f>
        <v>2207847.2070036912</v>
      </c>
      <c r="F339" s="394">
        <f>IFERROR(IF(Loan_Not_Paid*Values_Entered,Principal,""), "")</f>
        <v>1788429.7568009256</v>
      </c>
      <c r="G339" s="394">
        <f>IFERROR(IF(Loan_Not_Paid*Values_Entered,Interest,""), "")</f>
        <v>419417.45020276547</v>
      </c>
      <c r="H339" s="394">
        <f>IFERROR(IF(Loan_Not_Paid*Values_Entered,Ending_Balance,""), "")</f>
        <v>75642484.126792908</v>
      </c>
    </row>
    <row r="340" spans="2:8">
      <c r="B340" s="396">
        <f>IFERROR(IF(Loan_Not_Paid*Values_Entered,Payment_Number,""), "")</f>
        <v>323</v>
      </c>
      <c r="C340" s="395"/>
      <c r="D340" s="394">
        <f>IFERROR(IF(Loan_Not_Paid*Values_Entered,Beginning_Balance,""), "")</f>
        <v>75642484.126792908</v>
      </c>
      <c r="E340" s="394">
        <f>IFERROR(IF(Loan_Not_Paid*Values_Entered,Monthly_Payment,""), "")</f>
        <v>2207847.2070036912</v>
      </c>
      <c r="F340" s="394">
        <f>IFERROR(IF(Loan_Not_Paid*Values_Entered,Principal,""), "")</f>
        <v>1798117.0846502641</v>
      </c>
      <c r="G340" s="394">
        <f>IFERROR(IF(Loan_Not_Paid*Values_Entered,Interest,""), "")</f>
        <v>409730.12235342705</v>
      </c>
      <c r="H340" s="394">
        <f>IFERROR(IF(Loan_Not_Paid*Values_Entered,Ending_Balance,""), "")</f>
        <v>73844367.042142391</v>
      </c>
    </row>
    <row r="341" spans="2:8">
      <c r="B341" s="396">
        <f>IFERROR(IF(Loan_Not_Paid*Values_Entered,Payment_Number,""), "")</f>
        <v>324</v>
      </c>
      <c r="C341" s="395"/>
      <c r="D341" s="394">
        <f>IFERROR(IF(Loan_Not_Paid*Values_Entered,Beginning_Balance,""), "")</f>
        <v>73844367.042142391</v>
      </c>
      <c r="E341" s="394">
        <f>IFERROR(IF(Loan_Not_Paid*Values_Entered,Monthly_Payment,""), "")</f>
        <v>2207847.2070036912</v>
      </c>
      <c r="F341" s="394">
        <f>IFERROR(IF(Loan_Not_Paid*Values_Entered,Principal,""), "")</f>
        <v>1807856.8855254531</v>
      </c>
      <c r="G341" s="394">
        <f>IFERROR(IF(Loan_Not_Paid*Values_Entered,Interest,""), "")</f>
        <v>399990.32147823815</v>
      </c>
      <c r="H341" s="394">
        <f>IFERROR(IF(Loan_Not_Paid*Values_Entered,Ending_Balance,""), "")</f>
        <v>72036510.156617403</v>
      </c>
    </row>
    <row r="342" spans="2:8">
      <c r="B342" s="396">
        <f>IFERROR(IF(Loan_Not_Paid*Values_Entered,Payment_Number,""), "")</f>
        <v>325</v>
      </c>
      <c r="C342" s="395"/>
      <c r="D342" s="394">
        <f>IFERROR(IF(Loan_Not_Paid*Values_Entered,Beginning_Balance,""), "")</f>
        <v>72036510.156617403</v>
      </c>
      <c r="E342" s="394">
        <f>IFERROR(IF(Loan_Not_Paid*Values_Entered,Monthly_Payment,""), "")</f>
        <v>2207847.2070036912</v>
      </c>
      <c r="F342" s="394">
        <f>IFERROR(IF(Loan_Not_Paid*Values_Entered,Principal,""), "")</f>
        <v>1817649.4436553828</v>
      </c>
      <c r="G342" s="394">
        <f>IFERROR(IF(Loan_Not_Paid*Values_Entered,Interest,""), "")</f>
        <v>390197.76334830862</v>
      </c>
      <c r="H342" s="394">
        <f>IFERROR(IF(Loan_Not_Paid*Values_Entered,Ending_Balance,""), "")</f>
        <v>70218860.712962151</v>
      </c>
    </row>
    <row r="343" spans="2:8">
      <c r="B343" s="396">
        <f>IFERROR(IF(Loan_Not_Paid*Values_Entered,Payment_Number,""), "")</f>
        <v>326</v>
      </c>
      <c r="C343" s="395"/>
      <c r="D343" s="394">
        <f>IFERROR(IF(Loan_Not_Paid*Values_Entered,Beginning_Balance,""), "")</f>
        <v>70218860.712962151</v>
      </c>
      <c r="E343" s="394">
        <f>IFERROR(IF(Loan_Not_Paid*Values_Entered,Monthly_Payment,""), "")</f>
        <v>2207847.2070036912</v>
      </c>
      <c r="F343" s="394">
        <f>IFERROR(IF(Loan_Not_Paid*Values_Entered,Principal,""), "")</f>
        <v>1827495.044808516</v>
      </c>
      <c r="G343" s="394">
        <f>IFERROR(IF(Loan_Not_Paid*Values_Entered,Interest,""), "")</f>
        <v>380352.16219517525</v>
      </c>
      <c r="H343" s="394">
        <f>IFERROR(IF(Loan_Not_Paid*Values_Entered,Ending_Balance,""), "")</f>
        <v>68391365.668153524</v>
      </c>
    </row>
    <row r="344" spans="2:8">
      <c r="B344" s="396">
        <f>IFERROR(IF(Loan_Not_Paid*Values_Entered,Payment_Number,""), "")</f>
        <v>327</v>
      </c>
      <c r="C344" s="395"/>
      <c r="D344" s="394">
        <f>IFERROR(IF(Loan_Not_Paid*Values_Entered,Beginning_Balance,""), "")</f>
        <v>68391365.668153524</v>
      </c>
      <c r="E344" s="394">
        <f>IFERROR(IF(Loan_Not_Paid*Values_Entered,Monthly_Payment,""), "")</f>
        <v>2207847.2070036912</v>
      </c>
      <c r="F344" s="394">
        <f>IFERROR(IF(Loan_Not_Paid*Values_Entered,Principal,""), "")</f>
        <v>1837393.9763012289</v>
      </c>
      <c r="G344" s="394">
        <f>IFERROR(IF(Loan_Not_Paid*Values_Entered,Interest,""), "")</f>
        <v>370453.23070246249</v>
      </c>
      <c r="H344" s="394">
        <f>IFERROR(IF(Loan_Not_Paid*Values_Entered,Ending_Balance,""), "")</f>
        <v>66553971.69185257</v>
      </c>
    </row>
    <row r="345" spans="2:8">
      <c r="B345" s="396">
        <f>IFERROR(IF(Loan_Not_Paid*Values_Entered,Payment_Number,""), "")</f>
        <v>328</v>
      </c>
      <c r="C345" s="395"/>
      <c r="D345" s="394">
        <f>IFERROR(IF(Loan_Not_Paid*Values_Entered,Beginning_Balance,""), "")</f>
        <v>66553971.69185257</v>
      </c>
      <c r="E345" s="394">
        <f>IFERROR(IF(Loan_Not_Paid*Values_Entered,Monthly_Payment,""), "")</f>
        <v>2207847.2070036912</v>
      </c>
      <c r="F345" s="394">
        <f>IFERROR(IF(Loan_Not_Paid*Values_Entered,Principal,""), "")</f>
        <v>1847346.527006194</v>
      </c>
      <c r="G345" s="394">
        <f>IFERROR(IF(Loan_Not_Paid*Values_Entered,Interest,""), "")</f>
        <v>360500.67999749753</v>
      </c>
      <c r="H345" s="394">
        <f>IFERROR(IF(Loan_Not_Paid*Values_Entered,Ending_Balance,""), "")</f>
        <v>64706625.164846182</v>
      </c>
    </row>
    <row r="346" spans="2:8">
      <c r="B346" s="396">
        <f>IFERROR(IF(Loan_Not_Paid*Values_Entered,Payment_Number,""), "")</f>
        <v>329</v>
      </c>
      <c r="C346" s="395"/>
      <c r="D346" s="394">
        <f>IFERROR(IF(Loan_Not_Paid*Values_Entered,Beginning_Balance,""), "")</f>
        <v>64706625.164846182</v>
      </c>
      <c r="E346" s="394">
        <f>IFERROR(IF(Loan_Not_Paid*Values_Entered,Monthly_Payment,""), "")</f>
        <v>2207847.2070036912</v>
      </c>
      <c r="F346" s="394">
        <f>IFERROR(IF(Loan_Not_Paid*Values_Entered,Principal,""), "")</f>
        <v>1857352.9873608106</v>
      </c>
      <c r="G346" s="394">
        <f>IFERROR(IF(Loan_Not_Paid*Values_Entered,Interest,""), "")</f>
        <v>350494.21964288066</v>
      </c>
      <c r="H346" s="394">
        <f>IFERROR(IF(Loan_Not_Paid*Values_Entered,Ending_Balance,""), "")</f>
        <v>62849272.177485466</v>
      </c>
    </row>
    <row r="347" spans="2:8">
      <c r="B347" s="396">
        <f>IFERROR(IF(Loan_Not_Paid*Values_Entered,Payment_Number,""), "")</f>
        <v>330</v>
      </c>
      <c r="C347" s="395"/>
      <c r="D347" s="394">
        <f>IFERROR(IF(Loan_Not_Paid*Values_Entered,Beginning_Balance,""), "")</f>
        <v>62849272.177485466</v>
      </c>
      <c r="E347" s="394">
        <f>IFERROR(IF(Loan_Not_Paid*Values_Entered,Monthly_Payment,""), "")</f>
        <v>2207847.2070036912</v>
      </c>
      <c r="F347" s="394">
        <f>IFERROR(IF(Loan_Not_Paid*Values_Entered,Principal,""), "")</f>
        <v>1867413.6493756818</v>
      </c>
      <c r="G347" s="394">
        <f>IFERROR(IF(Loan_Not_Paid*Values_Entered,Interest,""), "")</f>
        <v>340433.55762800958</v>
      </c>
      <c r="H347" s="394">
        <f>IFERROR(IF(Loan_Not_Paid*Values_Entered,Ending_Balance,""), "")</f>
        <v>60981858.52810955</v>
      </c>
    </row>
    <row r="348" spans="2:8">
      <c r="B348" s="396">
        <f>IFERROR(IF(Loan_Not_Paid*Values_Entered,Payment_Number,""), "")</f>
        <v>331</v>
      </c>
      <c r="C348" s="395"/>
      <c r="D348" s="394">
        <f>IFERROR(IF(Loan_Not_Paid*Values_Entered,Beginning_Balance,""), "")</f>
        <v>60981858.52810955</v>
      </c>
      <c r="E348" s="394">
        <f>IFERROR(IF(Loan_Not_Paid*Values_Entered,Monthly_Payment,""), "")</f>
        <v>2207847.2070036912</v>
      </c>
      <c r="F348" s="394">
        <f>IFERROR(IF(Loan_Not_Paid*Values_Entered,Principal,""), "")</f>
        <v>1877528.8066431333</v>
      </c>
      <c r="G348" s="394">
        <f>IFERROR(IF(Loan_Not_Paid*Values_Entered,Interest,""), "")</f>
        <v>330318.40036055795</v>
      </c>
      <c r="H348" s="394">
        <f>IFERROR(IF(Loan_Not_Paid*Values_Entered,Ending_Balance,""), "")</f>
        <v>59104329.721467018</v>
      </c>
    </row>
    <row r="349" spans="2:8">
      <c r="B349" s="396">
        <f>IFERROR(IF(Loan_Not_Paid*Values_Entered,Payment_Number,""), "")</f>
        <v>332</v>
      </c>
      <c r="C349" s="395"/>
      <c r="D349" s="394">
        <f>IFERROR(IF(Loan_Not_Paid*Values_Entered,Beginning_Balance,""), "")</f>
        <v>59104329.721467018</v>
      </c>
      <c r="E349" s="394">
        <f>IFERROR(IF(Loan_Not_Paid*Values_Entered,Monthly_Payment,""), "")</f>
        <v>2207847.2070036912</v>
      </c>
      <c r="F349" s="394">
        <f>IFERROR(IF(Loan_Not_Paid*Values_Entered,Principal,""), "")</f>
        <v>1887698.7543457835</v>
      </c>
      <c r="G349" s="394">
        <f>IFERROR(IF(Loan_Not_Paid*Values_Entered,Interest,""), "")</f>
        <v>320148.45265790762</v>
      </c>
      <c r="H349" s="394">
        <f>IFERROR(IF(Loan_Not_Paid*Values_Entered,Ending_Balance,""), "")</f>
        <v>57216630.967121124</v>
      </c>
    </row>
    <row r="350" spans="2:8">
      <c r="B350" s="396">
        <f>IFERROR(IF(Loan_Not_Paid*Values_Entered,Payment_Number,""), "")</f>
        <v>333</v>
      </c>
      <c r="C350" s="395"/>
      <c r="D350" s="394">
        <f>IFERROR(IF(Loan_Not_Paid*Values_Entered,Beginning_Balance,""), "")</f>
        <v>57216630.967121124</v>
      </c>
      <c r="E350" s="394">
        <f>IFERROR(IF(Loan_Not_Paid*Values_Entered,Monthly_Payment,""), "")</f>
        <v>2207847.2070036912</v>
      </c>
      <c r="F350" s="394">
        <f>IFERROR(IF(Loan_Not_Paid*Values_Entered,Principal,""), "")</f>
        <v>1897923.7892651565</v>
      </c>
      <c r="G350" s="394">
        <f>IFERROR(IF(Loan_Not_Paid*Values_Entered,Interest,""), "")</f>
        <v>309923.41773853468</v>
      </c>
      <c r="H350" s="394">
        <f>IFERROR(IF(Loan_Not_Paid*Values_Entered,Ending_Balance,""), "")</f>
        <v>55318707.17785573</v>
      </c>
    </row>
    <row r="351" spans="2:8">
      <c r="B351" s="396">
        <f>IFERROR(IF(Loan_Not_Paid*Values_Entered,Payment_Number,""), "")</f>
        <v>334</v>
      </c>
      <c r="C351" s="395"/>
      <c r="D351" s="394">
        <f>IFERROR(IF(Loan_Not_Paid*Values_Entered,Beginning_Balance,""), "")</f>
        <v>55318707.17785573</v>
      </c>
      <c r="E351" s="394">
        <f>IFERROR(IF(Loan_Not_Paid*Values_Entered,Monthly_Payment,""), "")</f>
        <v>2207847.2070036912</v>
      </c>
      <c r="F351" s="394">
        <f>IFERROR(IF(Loan_Not_Paid*Values_Entered,Principal,""), "")</f>
        <v>1908204.2097903427</v>
      </c>
      <c r="G351" s="394">
        <f>IFERROR(IF(Loan_Not_Paid*Values_Entered,Interest,""), "")</f>
        <v>299642.9972133484</v>
      </c>
      <c r="H351" s="394">
        <f>IFERROR(IF(Loan_Not_Paid*Values_Entered,Ending_Balance,""), "")</f>
        <v>53410502.9680655</v>
      </c>
    </row>
    <row r="352" spans="2:8">
      <c r="B352" s="396">
        <f>IFERROR(IF(Loan_Not_Paid*Values_Entered,Payment_Number,""), "")</f>
        <v>335</v>
      </c>
      <c r="C352" s="395"/>
      <c r="D352" s="394">
        <f>IFERROR(IF(Loan_Not_Paid*Values_Entered,Beginning_Balance,""), "")</f>
        <v>53410502.9680655</v>
      </c>
      <c r="E352" s="394">
        <f>IFERROR(IF(Loan_Not_Paid*Values_Entered,Monthly_Payment,""), "")</f>
        <v>2207847.2070036912</v>
      </c>
      <c r="F352" s="394">
        <f>IFERROR(IF(Loan_Not_Paid*Values_Entered,Principal,""), "")</f>
        <v>1918540.3159267071</v>
      </c>
      <c r="G352" s="394">
        <f>IFERROR(IF(Loan_Not_Paid*Values_Entered,Interest,""), "")</f>
        <v>289306.891076984</v>
      </c>
      <c r="H352" s="394">
        <f>IFERROR(IF(Loan_Not_Paid*Values_Entered,Ending_Balance,""), "")</f>
        <v>51491962.652139187</v>
      </c>
    </row>
    <row r="353" spans="2:8">
      <c r="B353" s="396">
        <f>IFERROR(IF(Loan_Not_Paid*Values_Entered,Payment_Number,""), "")</f>
        <v>336</v>
      </c>
      <c r="C353" s="395"/>
      <c r="D353" s="394">
        <f>IFERROR(IF(Loan_Not_Paid*Values_Entered,Beginning_Balance,""), "")</f>
        <v>51491962.652139187</v>
      </c>
      <c r="E353" s="394">
        <f>IFERROR(IF(Loan_Not_Paid*Values_Entered,Monthly_Payment,""), "")</f>
        <v>2207847.2070036912</v>
      </c>
      <c r="F353" s="394">
        <f>IFERROR(IF(Loan_Not_Paid*Values_Entered,Principal,""), "")</f>
        <v>1928932.4093046437</v>
      </c>
      <c r="G353" s="394">
        <f>IFERROR(IF(Loan_Not_Paid*Values_Entered,Interest,""), "")</f>
        <v>278914.79769904772</v>
      </c>
      <c r="H353" s="394">
        <f>IFERROR(IF(Loan_Not_Paid*Values_Entered,Ending_Balance,""), "")</f>
        <v>49563030.24283433</v>
      </c>
    </row>
    <row r="354" spans="2:8">
      <c r="B354" s="396">
        <f>IFERROR(IF(Loan_Not_Paid*Values_Entered,Payment_Number,""), "")</f>
        <v>337</v>
      </c>
      <c r="C354" s="395"/>
      <c r="D354" s="394">
        <f>IFERROR(IF(Loan_Not_Paid*Values_Entered,Beginning_Balance,""), "")</f>
        <v>49563030.24283433</v>
      </c>
      <c r="E354" s="394">
        <f>IFERROR(IF(Loan_Not_Paid*Values_Entered,Monthly_Payment,""), "")</f>
        <v>2207847.2070036912</v>
      </c>
      <c r="F354" s="394">
        <f>IFERROR(IF(Loan_Not_Paid*Values_Entered,Principal,""), "")</f>
        <v>1939380.7931883771</v>
      </c>
      <c r="G354" s="394">
        <f>IFERROR(IF(Loan_Not_Paid*Values_Entered,Interest,""), "")</f>
        <v>268466.41381531418</v>
      </c>
      <c r="H354" s="394">
        <f>IFERROR(IF(Loan_Not_Paid*Values_Entered,Ending_Balance,""), "")</f>
        <v>47623649.449645996</v>
      </c>
    </row>
    <row r="355" spans="2:8">
      <c r="B355" s="396">
        <f>IFERROR(IF(Loan_Not_Paid*Values_Entered,Payment_Number,""), "")</f>
        <v>338</v>
      </c>
      <c r="C355" s="395"/>
      <c r="D355" s="394">
        <f>IFERROR(IF(Loan_Not_Paid*Values_Entered,Beginning_Balance,""), "")</f>
        <v>47623649.449645996</v>
      </c>
      <c r="E355" s="394">
        <f>IFERROR(IF(Loan_Not_Paid*Values_Entered,Monthly_Payment,""), "")</f>
        <v>2207847.2070036912</v>
      </c>
      <c r="F355" s="394">
        <f>IFERROR(IF(Loan_Not_Paid*Values_Entered,Principal,""), "")</f>
        <v>1949885.772484814</v>
      </c>
      <c r="G355" s="394">
        <f>IFERROR(IF(Loan_Not_Paid*Values_Entered,Interest,""), "")</f>
        <v>257961.43451887715</v>
      </c>
      <c r="H355" s="394">
        <f>IFERROR(IF(Loan_Not_Paid*Values_Entered,Ending_Balance,""), "")</f>
        <v>45673763.677160978</v>
      </c>
    </row>
    <row r="356" spans="2:8">
      <c r="B356" s="396">
        <f>IFERROR(IF(Loan_Not_Paid*Values_Entered,Payment_Number,""), "")</f>
        <v>339</v>
      </c>
      <c r="C356" s="395"/>
      <c r="D356" s="394">
        <f>IFERROR(IF(Loan_Not_Paid*Values_Entered,Beginning_Balance,""), "")</f>
        <v>45673763.677160978</v>
      </c>
      <c r="E356" s="394">
        <f>IFERROR(IF(Loan_Not_Paid*Values_Entered,Monthly_Payment,""), "")</f>
        <v>2207847.2070036912</v>
      </c>
      <c r="F356" s="394">
        <f>IFERROR(IF(Loan_Not_Paid*Values_Entered,Principal,""), "")</f>
        <v>1960447.6537524401</v>
      </c>
      <c r="G356" s="394">
        <f>IFERROR(IF(Loan_Not_Paid*Values_Entered,Interest,""), "")</f>
        <v>247399.55325125111</v>
      </c>
      <c r="H356" s="394">
        <f>IFERROR(IF(Loan_Not_Paid*Values_Entered,Ending_Balance,""), "")</f>
        <v>43713316.02340889</v>
      </c>
    </row>
    <row r="357" spans="2:8">
      <c r="B357" s="396">
        <f>IFERROR(IF(Loan_Not_Paid*Values_Entered,Payment_Number,""), "")</f>
        <v>340</v>
      </c>
      <c r="C357" s="395"/>
      <c r="D357" s="394">
        <f>IFERROR(IF(Loan_Not_Paid*Values_Entered,Beginning_Balance,""), "")</f>
        <v>43713316.02340889</v>
      </c>
      <c r="E357" s="394">
        <f>IFERROR(IF(Loan_Not_Paid*Values_Entered,Monthly_Payment,""), "")</f>
        <v>2207847.2070036912</v>
      </c>
      <c r="F357" s="394">
        <f>IFERROR(IF(Loan_Not_Paid*Values_Entered,Principal,""), "")</f>
        <v>1971066.7452102662</v>
      </c>
      <c r="G357" s="394">
        <f>IFERROR(IF(Loan_Not_Paid*Values_Entered,Interest,""), "")</f>
        <v>236780.46179342535</v>
      </c>
      <c r="H357" s="394">
        <f>IFERROR(IF(Loan_Not_Paid*Values_Entered,Ending_Balance,""), "")</f>
        <v>41742249.278198719</v>
      </c>
    </row>
    <row r="358" spans="2:8">
      <c r="B358" s="396">
        <f>IFERROR(IF(Loan_Not_Paid*Values_Entered,Payment_Number,""), "")</f>
        <v>341</v>
      </c>
      <c r="C358" s="395"/>
      <c r="D358" s="394">
        <f>IFERROR(IF(Loan_Not_Paid*Values_Entered,Beginning_Balance,""), "")</f>
        <v>41742249.278198719</v>
      </c>
      <c r="E358" s="394">
        <f>IFERROR(IF(Loan_Not_Paid*Values_Entered,Monthly_Payment,""), "")</f>
        <v>2207847.2070036912</v>
      </c>
      <c r="F358" s="394">
        <f>IFERROR(IF(Loan_Not_Paid*Values_Entered,Principal,""), "")</f>
        <v>1981743.3567468214</v>
      </c>
      <c r="G358" s="394">
        <f>IFERROR(IF(Loan_Not_Paid*Values_Entered,Interest,""), "")</f>
        <v>226103.85025686977</v>
      </c>
      <c r="H358" s="394">
        <f>IFERROR(IF(Loan_Not_Paid*Values_Entered,Ending_Balance,""), "")</f>
        <v>39760505.921452045</v>
      </c>
    </row>
    <row r="359" spans="2:8">
      <c r="B359" s="396">
        <f>IFERROR(IF(Loan_Not_Paid*Values_Entered,Payment_Number,""), "")</f>
        <v>342</v>
      </c>
      <c r="C359" s="395"/>
      <c r="D359" s="394">
        <f>IFERROR(IF(Loan_Not_Paid*Values_Entered,Beginning_Balance,""), "")</f>
        <v>39760505.921452045</v>
      </c>
      <c r="E359" s="394">
        <f>IFERROR(IF(Loan_Not_Paid*Values_Entered,Monthly_Payment,""), "")</f>
        <v>2207847.2070036912</v>
      </c>
      <c r="F359" s="394">
        <f>IFERROR(IF(Loan_Not_Paid*Values_Entered,Principal,""), "")</f>
        <v>1992477.7999292</v>
      </c>
      <c r="G359" s="394">
        <f>IFERROR(IF(Loan_Not_Paid*Values_Entered,Interest,""), "")</f>
        <v>215369.40707449117</v>
      </c>
      <c r="H359" s="394">
        <f>IFERROR(IF(Loan_Not_Paid*Values_Entered,Ending_Balance,""), "")</f>
        <v>37768028.121522903</v>
      </c>
    </row>
    <row r="360" spans="2:8">
      <c r="B360" s="396">
        <f>IFERROR(IF(Loan_Not_Paid*Values_Entered,Payment_Number,""), "")</f>
        <v>343</v>
      </c>
      <c r="C360" s="395"/>
      <c r="D360" s="394">
        <f>IFERROR(IF(Loan_Not_Paid*Values_Entered,Beginning_Balance,""), "")</f>
        <v>37768028.121522903</v>
      </c>
      <c r="E360" s="394">
        <f>IFERROR(IF(Loan_Not_Paid*Values_Entered,Monthly_Payment,""), "")</f>
        <v>2207847.2070036912</v>
      </c>
      <c r="F360" s="394">
        <f>IFERROR(IF(Loan_Not_Paid*Values_Entered,Principal,""), "")</f>
        <v>2003270.3880121498</v>
      </c>
      <c r="G360" s="394">
        <f>IFERROR(IF(Loan_Not_Paid*Values_Entered,Interest,""), "")</f>
        <v>204576.81899154131</v>
      </c>
      <c r="H360" s="394">
        <f>IFERROR(IF(Loan_Not_Paid*Values_Entered,Ending_Balance,""), "")</f>
        <v>35764757.733510971</v>
      </c>
    </row>
    <row r="361" spans="2:8">
      <c r="B361" s="396">
        <f>IFERROR(IF(Loan_Not_Paid*Values_Entered,Payment_Number,""), "")</f>
        <v>344</v>
      </c>
      <c r="C361" s="395"/>
      <c r="D361" s="394">
        <f>IFERROR(IF(Loan_Not_Paid*Values_Entered,Beginning_Balance,""), "")</f>
        <v>35764757.733510971</v>
      </c>
      <c r="E361" s="394">
        <f>IFERROR(IF(Loan_Not_Paid*Values_Entered,Monthly_Payment,""), "")</f>
        <v>2207847.2070036912</v>
      </c>
      <c r="F361" s="394">
        <f>IFERROR(IF(Loan_Not_Paid*Values_Entered,Principal,""), "")</f>
        <v>2014121.4359472157</v>
      </c>
      <c r="G361" s="394">
        <f>IFERROR(IF(Loan_Not_Paid*Values_Entered,Interest,""), "")</f>
        <v>193725.77105647553</v>
      </c>
      <c r="H361" s="394">
        <f>IFERROR(IF(Loan_Not_Paid*Values_Entered,Ending_Balance,""), "")</f>
        <v>33750636.297563553</v>
      </c>
    </row>
    <row r="362" spans="2:8">
      <c r="B362" s="396">
        <f>IFERROR(IF(Loan_Not_Paid*Values_Entered,Payment_Number,""), "")</f>
        <v>345</v>
      </c>
      <c r="C362" s="395"/>
      <c r="D362" s="394">
        <f>IFERROR(IF(Loan_Not_Paid*Values_Entered,Beginning_Balance,""), "")</f>
        <v>33750636.297563553</v>
      </c>
      <c r="E362" s="394">
        <f>IFERROR(IF(Loan_Not_Paid*Values_Entered,Monthly_Payment,""), "")</f>
        <v>2207847.2070036912</v>
      </c>
      <c r="F362" s="394">
        <f>IFERROR(IF(Loan_Not_Paid*Values_Entered,Principal,""), "")</f>
        <v>2025031.2603919299</v>
      </c>
      <c r="G362" s="394">
        <f>IFERROR(IF(Loan_Not_Paid*Values_Entered,Interest,""), "")</f>
        <v>182815.94661176138</v>
      </c>
      <c r="H362" s="394">
        <f>IFERROR(IF(Loan_Not_Paid*Values_Entered,Ending_Balance,""), "")</f>
        <v>31725605.037171841</v>
      </c>
    </row>
    <row r="363" spans="2:8">
      <c r="B363" s="396">
        <f>IFERROR(IF(Loan_Not_Paid*Values_Entered,Payment_Number,""), "")</f>
        <v>346</v>
      </c>
      <c r="C363" s="395"/>
      <c r="D363" s="394">
        <f>IFERROR(IF(Loan_Not_Paid*Values_Entered,Beginning_Balance,""), "")</f>
        <v>31725605.037171841</v>
      </c>
      <c r="E363" s="394">
        <f>IFERROR(IF(Loan_Not_Paid*Values_Entered,Monthly_Payment,""), "")</f>
        <v>2207847.2070036912</v>
      </c>
      <c r="F363" s="394">
        <f>IFERROR(IF(Loan_Not_Paid*Values_Entered,Principal,""), "")</f>
        <v>2036000.1797190527</v>
      </c>
      <c r="G363" s="394">
        <f>IFERROR(IF(Loan_Not_Paid*Values_Entered,Interest,""), "")</f>
        <v>171847.02728463843</v>
      </c>
      <c r="H363" s="394">
        <f>IFERROR(IF(Loan_Not_Paid*Values_Entered,Ending_Balance,""), "")</f>
        <v>29689604.857452869</v>
      </c>
    </row>
    <row r="364" spans="2:8">
      <c r="B364" s="396">
        <f>IFERROR(IF(Loan_Not_Paid*Values_Entered,Payment_Number,""), "")</f>
        <v>347</v>
      </c>
      <c r="C364" s="395"/>
      <c r="D364" s="394">
        <f>IFERROR(IF(Loan_Not_Paid*Values_Entered,Beginning_Balance,""), "")</f>
        <v>29689604.857452869</v>
      </c>
      <c r="E364" s="394">
        <f>IFERROR(IF(Loan_Not_Paid*Values_Entered,Monthly_Payment,""), "")</f>
        <v>2207847.2070036912</v>
      </c>
      <c r="F364" s="394">
        <f>IFERROR(IF(Loan_Not_Paid*Values_Entered,Principal,""), "")</f>
        <v>2047028.5140258644</v>
      </c>
      <c r="G364" s="394">
        <f>IFERROR(IF(Loan_Not_Paid*Values_Entered,Interest,""), "")</f>
        <v>160818.69297782693</v>
      </c>
      <c r="H364" s="394">
        <f>IFERROR(IF(Loan_Not_Paid*Values_Entered,Ending_Balance,""), "")</f>
        <v>27642576.343426704</v>
      </c>
    </row>
    <row r="365" spans="2:8">
      <c r="B365" s="396">
        <f>IFERROR(IF(Loan_Not_Paid*Values_Entered,Payment_Number,""), "")</f>
        <v>348</v>
      </c>
      <c r="C365" s="395"/>
      <c r="D365" s="394">
        <f>IFERROR(IF(Loan_Not_Paid*Values_Entered,Beginning_Balance,""), "")</f>
        <v>27642576.343426704</v>
      </c>
      <c r="E365" s="394">
        <f>IFERROR(IF(Loan_Not_Paid*Values_Entered,Monthly_Payment,""), "")</f>
        <v>2207847.2070036912</v>
      </c>
      <c r="F365" s="394">
        <f>IFERROR(IF(Loan_Not_Paid*Values_Entered,Principal,""), "")</f>
        <v>2058116.5851435042</v>
      </c>
      <c r="G365" s="394">
        <f>IFERROR(IF(Loan_Not_Paid*Values_Entered,Interest,""), "")</f>
        <v>149730.6218601868</v>
      </c>
      <c r="H365" s="394">
        <f>IFERROR(IF(Loan_Not_Paid*Values_Entered,Ending_Balance,""), "")</f>
        <v>25584459.758283615</v>
      </c>
    </row>
    <row r="366" spans="2:8">
      <c r="B366" s="396">
        <f>IFERROR(IF(Loan_Not_Paid*Values_Entered,Payment_Number,""), "")</f>
        <v>349</v>
      </c>
      <c r="C366" s="395"/>
      <c r="D366" s="394">
        <f>IFERROR(IF(Loan_Not_Paid*Values_Entered,Beginning_Balance,""), "")</f>
        <v>25584459.758283615</v>
      </c>
      <c r="E366" s="394">
        <f>IFERROR(IF(Loan_Not_Paid*Values_Entered,Monthly_Payment,""), "")</f>
        <v>2207847.2070036912</v>
      </c>
      <c r="F366" s="394">
        <f>IFERROR(IF(Loan_Not_Paid*Values_Entered,Principal,""), "")</f>
        <v>2069264.7166463649</v>
      </c>
      <c r="G366" s="394">
        <f>IFERROR(IF(Loan_Not_Paid*Values_Entered,Interest,""), "")</f>
        <v>138582.49035732617</v>
      </c>
      <c r="H366" s="394">
        <f>IFERROR(IF(Loan_Not_Paid*Values_Entered,Ending_Balance,""), "")</f>
        <v>23515195.041637421</v>
      </c>
    </row>
    <row r="367" spans="2:8">
      <c r="B367" s="396">
        <f>IFERROR(IF(Loan_Not_Paid*Values_Entered,Payment_Number,""), "")</f>
        <v>350</v>
      </c>
      <c r="C367" s="395"/>
      <c r="D367" s="394">
        <f>IFERROR(IF(Loan_Not_Paid*Values_Entered,Beginning_Balance,""), "")</f>
        <v>23515195.041637421</v>
      </c>
      <c r="E367" s="394">
        <f>IFERROR(IF(Loan_Not_Paid*Values_Entered,Monthly_Payment,""), "")</f>
        <v>2207847.2070036912</v>
      </c>
      <c r="F367" s="394">
        <f>IFERROR(IF(Loan_Not_Paid*Values_Entered,Principal,""), "")</f>
        <v>2080473.2338615328</v>
      </c>
      <c r="G367" s="394">
        <f>IFERROR(IF(Loan_Not_Paid*Values_Entered,Interest,""), "")</f>
        <v>127373.97314215834</v>
      </c>
      <c r="H367" s="394">
        <f>IFERROR(IF(Loan_Not_Paid*Values_Entered,Ending_Balance,""), "")</f>
        <v>21434721.807775497</v>
      </c>
    </row>
    <row r="368" spans="2:8">
      <c r="B368" s="396">
        <f>IFERROR(IF(Loan_Not_Paid*Values_Entered,Payment_Number,""), "")</f>
        <v>351</v>
      </c>
      <c r="C368" s="395"/>
      <c r="D368" s="394">
        <f>IFERROR(IF(Loan_Not_Paid*Values_Entered,Beginning_Balance,""), "")</f>
        <v>21434721.807775497</v>
      </c>
      <c r="E368" s="394">
        <f>IFERROR(IF(Loan_Not_Paid*Values_Entered,Monthly_Payment,""), "")</f>
        <v>2207847.2070036912</v>
      </c>
      <c r="F368" s="394">
        <f>IFERROR(IF(Loan_Not_Paid*Values_Entered,Principal,""), "")</f>
        <v>2091742.4638782828</v>
      </c>
      <c r="G368" s="394">
        <f>IFERROR(IF(Loan_Not_Paid*Values_Entered,Interest,""), "")</f>
        <v>116104.74312540838</v>
      </c>
      <c r="H368" s="394">
        <f>IFERROR(IF(Loan_Not_Paid*Values_Entered,Ending_Balance,""), "")</f>
        <v>19342979.34389782</v>
      </c>
    </row>
    <row r="369" spans="2:8">
      <c r="B369" s="396">
        <f>IFERROR(IF(Loan_Not_Paid*Values_Entered,Payment_Number,""), "")</f>
        <v>352</v>
      </c>
      <c r="C369" s="395"/>
      <c r="D369" s="394">
        <f>IFERROR(IF(Loan_Not_Paid*Values_Entered,Beginning_Balance,""), "")</f>
        <v>19342979.34389782</v>
      </c>
      <c r="E369" s="394">
        <f>IFERROR(IF(Loan_Not_Paid*Values_Entered,Monthly_Payment,""), "")</f>
        <v>2207847.2070036912</v>
      </c>
      <c r="F369" s="394">
        <f>IFERROR(IF(Loan_Not_Paid*Values_Entered,Principal,""), "")</f>
        <v>2103072.7355576237</v>
      </c>
      <c r="G369" s="394">
        <f>IFERROR(IF(Loan_Not_Paid*Values_Entered,Interest,""), "")</f>
        <v>104774.47144606766</v>
      </c>
      <c r="H369" s="394">
        <f>IFERROR(IF(Loan_Not_Paid*Values_Entered,Ending_Balance,""), "")</f>
        <v>17239906.608340263</v>
      </c>
    </row>
    <row r="370" spans="2:8">
      <c r="B370" s="396">
        <f>IFERROR(IF(Loan_Not_Paid*Values_Entered,Payment_Number,""), "")</f>
        <v>353</v>
      </c>
      <c r="C370" s="395"/>
      <c r="D370" s="394">
        <f>IFERROR(IF(Loan_Not_Paid*Values_Entered,Beginning_Balance,""), "")</f>
        <v>17239906.608340263</v>
      </c>
      <c r="E370" s="394">
        <f>IFERROR(IF(Loan_Not_Paid*Values_Entered,Monthly_Payment,""), "")</f>
        <v>2207847.2070036912</v>
      </c>
      <c r="F370" s="394">
        <f>IFERROR(IF(Loan_Not_Paid*Values_Entered,Principal,""), "")</f>
        <v>2114464.379541894</v>
      </c>
      <c r="G370" s="394">
        <f>IFERROR(IF(Loan_Not_Paid*Values_Entered,Interest,""), "")</f>
        <v>93382.827461797206</v>
      </c>
      <c r="H370" s="394">
        <f>IFERROR(IF(Loan_Not_Paid*Values_Entered,Ending_Balance,""), "")</f>
        <v>15125442.228798389</v>
      </c>
    </row>
    <row r="371" spans="2:8">
      <c r="B371" s="396">
        <f>IFERROR(IF(Loan_Not_Paid*Values_Entered,Payment_Number,""), "")</f>
        <v>354</v>
      </c>
      <c r="C371" s="395"/>
      <c r="D371" s="394">
        <f>IFERROR(IF(Loan_Not_Paid*Values_Entered,Beginning_Balance,""), "")</f>
        <v>15125442.228798389</v>
      </c>
      <c r="E371" s="394">
        <f>IFERROR(IF(Loan_Not_Paid*Values_Entered,Monthly_Payment,""), "")</f>
        <v>2207847.2070036912</v>
      </c>
      <c r="F371" s="394">
        <f>IFERROR(IF(Loan_Not_Paid*Values_Entered,Principal,""), "")</f>
        <v>2125917.7282644124</v>
      </c>
      <c r="G371" s="394">
        <f>IFERROR(IF(Loan_Not_Paid*Values_Entered,Interest,""), "")</f>
        <v>81929.478739278609</v>
      </c>
      <c r="H371" s="394">
        <f>IFERROR(IF(Loan_Not_Paid*Values_Entered,Ending_Balance,""), "")</f>
        <v>12999524.500534058</v>
      </c>
    </row>
    <row r="372" spans="2:8">
      <c r="B372" s="396">
        <f>IFERROR(IF(Loan_Not_Paid*Values_Entered,Payment_Number,""), "")</f>
        <v>355</v>
      </c>
      <c r="C372" s="395"/>
      <c r="D372" s="394">
        <f>IFERROR(IF(Loan_Not_Paid*Values_Entered,Beginning_Balance,""), "")</f>
        <v>12999524.500534058</v>
      </c>
      <c r="E372" s="394">
        <f>IFERROR(IF(Loan_Not_Paid*Values_Entered,Monthly_Payment,""), "")</f>
        <v>2207847.2070036912</v>
      </c>
      <c r="F372" s="394">
        <f>IFERROR(IF(Loan_Not_Paid*Values_Entered,Principal,""), "")</f>
        <v>2137433.1159591782</v>
      </c>
      <c r="G372" s="394">
        <f>IFERROR(IF(Loan_Not_Paid*Values_Entered,Interest,""), "")</f>
        <v>70414.091044513043</v>
      </c>
      <c r="H372" s="394">
        <f>IFERROR(IF(Loan_Not_Paid*Values_Entered,Ending_Balance,""), "")</f>
        <v>10862091.384574413</v>
      </c>
    </row>
    <row r="373" spans="2:8">
      <c r="B373" s="396">
        <f>IFERROR(IF(Loan_Not_Paid*Values_Entered,Payment_Number,""), "")</f>
        <v>356</v>
      </c>
      <c r="C373" s="395"/>
      <c r="D373" s="394">
        <f>IFERROR(IF(Loan_Not_Paid*Values_Entered,Beginning_Balance,""), "")</f>
        <v>10862091.384574413</v>
      </c>
      <c r="E373" s="394">
        <f>IFERROR(IF(Loan_Not_Paid*Values_Entered,Monthly_Payment,""), "")</f>
        <v>2207847.2070036912</v>
      </c>
      <c r="F373" s="394">
        <f>IFERROR(IF(Loan_Not_Paid*Values_Entered,Principal,""), "")</f>
        <v>2149010.8786706235</v>
      </c>
      <c r="G373" s="394">
        <f>IFERROR(IF(Loan_Not_Paid*Values_Entered,Interest,""), "")</f>
        <v>58836.328333067489</v>
      </c>
      <c r="H373" s="394">
        <f>IFERROR(IF(Loan_Not_Paid*Values_Entered,Ending_Balance,""), "")</f>
        <v>8713080.5059041977</v>
      </c>
    </row>
    <row r="374" spans="2:8">
      <c r="B374" s="396">
        <f>IFERROR(IF(Loan_Not_Paid*Values_Entered,Payment_Number,""), "")</f>
        <v>357</v>
      </c>
      <c r="C374" s="395"/>
      <c r="D374" s="394">
        <f>IFERROR(IF(Loan_Not_Paid*Values_Entered,Beginning_Balance,""), "")</f>
        <v>8713080.5059041977</v>
      </c>
      <c r="E374" s="394">
        <f>IFERROR(IF(Loan_Not_Paid*Values_Entered,Monthly_Payment,""), "")</f>
        <v>2207847.2070036912</v>
      </c>
      <c r="F374" s="394">
        <f>IFERROR(IF(Loan_Not_Paid*Values_Entered,Principal,""), "")</f>
        <v>2160651.354263423</v>
      </c>
      <c r="G374" s="394">
        <f>IFERROR(IF(Loan_Not_Paid*Values_Entered,Interest,""), "")</f>
        <v>47195.852740268274</v>
      </c>
      <c r="H374" s="394">
        <f>IFERROR(IF(Loan_Not_Paid*Values_Entered,Ending_Balance,""), "")</f>
        <v>6552429.151640892</v>
      </c>
    </row>
    <row r="375" spans="2:8">
      <c r="B375" s="396">
        <f>IFERROR(IF(Loan_Not_Paid*Values_Entered,Payment_Number,""), "")</f>
        <v>358</v>
      </c>
      <c r="C375" s="395"/>
      <c r="D375" s="394">
        <f>IFERROR(IF(Loan_Not_Paid*Values_Entered,Beginning_Balance,""), "")</f>
        <v>6552429.151640892</v>
      </c>
      <c r="E375" s="394">
        <f>IFERROR(IF(Loan_Not_Paid*Values_Entered,Monthly_Payment,""), "")</f>
        <v>2207847.2070036912</v>
      </c>
      <c r="F375" s="394">
        <f>IFERROR(IF(Loan_Not_Paid*Values_Entered,Principal,""), "")</f>
        <v>2172354.88243235</v>
      </c>
      <c r="G375" s="394">
        <f>IFERROR(IF(Loan_Not_Paid*Values_Entered,Interest,""), "")</f>
        <v>35492.3245713414</v>
      </c>
      <c r="H375" s="394">
        <f>IFERROR(IF(Loan_Not_Paid*Values_Entered,Ending_Balance,""), "")</f>
        <v>4380074.2692084312</v>
      </c>
    </row>
    <row r="376" spans="2:8">
      <c r="B376" s="396">
        <f>IFERROR(IF(Loan_Not_Paid*Values_Entered,Payment_Number,""), "")</f>
        <v>359</v>
      </c>
      <c r="C376" s="395"/>
      <c r="D376" s="394">
        <f>IFERROR(IF(Loan_Not_Paid*Values_Entered,Beginning_Balance,""), "")</f>
        <v>4380074.2692084312</v>
      </c>
      <c r="E376" s="394">
        <f>IFERROR(IF(Loan_Not_Paid*Values_Entered,Monthly_Payment,""), "")</f>
        <v>2207847.2070036912</v>
      </c>
      <c r="F376" s="394">
        <f>IFERROR(IF(Loan_Not_Paid*Values_Entered,Principal,""), "")</f>
        <v>2184121.8047121917</v>
      </c>
      <c r="G376" s="394">
        <f>IFERROR(IF(Loan_Not_Paid*Values_Entered,Interest,""), "")</f>
        <v>23725.402291499508</v>
      </c>
      <c r="H376" s="394">
        <f>IFERROR(IF(Loan_Not_Paid*Values_Entered,Ending_Balance,""), "")</f>
        <v>2195952.4644961357</v>
      </c>
    </row>
    <row r="377" spans="2:8">
      <c r="B377" s="396">
        <f>IFERROR(IF(Loan_Not_Paid*Values_Entered,Payment_Number,""), "")</f>
        <v>360</v>
      </c>
      <c r="C377" s="395"/>
      <c r="D377" s="394">
        <f>IFERROR(IF(Loan_Not_Paid*Values_Entered,Beginning_Balance,""), "")</f>
        <v>2195952.4644961357</v>
      </c>
      <c r="E377" s="394">
        <f>IFERROR(IF(Loan_Not_Paid*Values_Entered,Monthly_Payment,""), "")</f>
        <v>2207847.2070036912</v>
      </c>
      <c r="F377" s="394">
        <f>IFERROR(IF(Loan_Not_Paid*Values_Entered,Principal,""), "")</f>
        <v>2195952.4644877161</v>
      </c>
      <c r="G377" s="394">
        <f>IFERROR(IF(Loan_Not_Paid*Values_Entered,Interest,""), "")</f>
        <v>11894.742515975131</v>
      </c>
      <c r="H377" s="394">
        <f>IFERROR(IF(Loan_Not_Paid*Values_Entered,Ending_Balance,""), "")</f>
        <v>9.059906005859375E-6</v>
      </c>
    </row>
  </sheetData>
  <mergeCells count="9">
    <mergeCell ref="B2:E2"/>
    <mergeCell ref="B8:D8"/>
    <mergeCell ref="B9:D9"/>
    <mergeCell ref="B10:D10"/>
    <mergeCell ref="B11:D11"/>
    <mergeCell ref="B3:D3"/>
    <mergeCell ref="B4:D4"/>
    <mergeCell ref="B5:D5"/>
    <mergeCell ref="B6:D6"/>
  </mergeCells>
  <conditionalFormatting sqref="C18:G377">
    <cfRule type="expression" dxfId="23" priority="1" stopIfTrue="1">
      <formula>NOT(Loan_Not_Paid)</formula>
    </cfRule>
    <cfRule type="expression" dxfId="22" priority="2" stopIfTrue="1">
      <formula>IF(ROW(C18)=Last_Row,TRUE,FALSE)</formula>
    </cfRule>
  </conditionalFormatting>
  <conditionalFormatting sqref="B18:B377">
    <cfRule type="expression" dxfId="21" priority="3" stopIfTrue="1">
      <formula>NOT(Loan_Not_Paid)</formula>
    </cfRule>
    <cfRule type="expression" dxfId="20" priority="4" stopIfTrue="1">
      <formula>IF(ROW(B18)=Last_Row,TRUE,FALSE)</formula>
    </cfRule>
  </conditionalFormatting>
  <conditionalFormatting sqref="H18:H377">
    <cfRule type="expression" dxfId="19" priority="5" stopIfTrue="1">
      <formula>NOT(Loan_Not_Paid)</formula>
    </cfRule>
    <cfRule type="expression" dxfId="18" priority="6" stopIfTrue="1">
      <formula>IF(ROW(H18)=Last_Row,TRUE,FALSE)</formula>
    </cfRule>
  </conditionalFormatting>
  <dataValidations count="26">
    <dataValidation allowBlank="1" showInputMessage="1" showErrorMessage="1" prompt="Enter Annual interest rate in this cell" sqref="E4" xr:uid="{00000000-0002-0000-0000-000019000000}"/>
    <dataValidation allowBlank="1" showInputMessage="1" showErrorMessage="1" prompt="Ending Balance is automatically updated in this column under this heading" sqref="H17" xr:uid="{00000000-0002-0000-0000-000018000000}"/>
    <dataValidation allowBlank="1" showInputMessage="1" showErrorMessage="1" prompt="Interest amount is automatically updated in this column under this heading" sqref="G17" xr:uid="{00000000-0002-0000-0000-000017000000}"/>
    <dataValidation allowBlank="1" showInputMessage="1" showErrorMessage="1" prompt="Principal amount is automatically updated in this column under this heading" sqref="F17" xr:uid="{00000000-0002-0000-0000-000016000000}"/>
    <dataValidation allowBlank="1" showInputMessage="1" showErrorMessage="1" prompt="Payment amount is automatically calculated in this column under this heading" sqref="E17" xr:uid="{00000000-0002-0000-0000-000015000000}"/>
    <dataValidation allowBlank="1" showInputMessage="1" showErrorMessage="1" prompt="Beginning Balance is automatically calculated in this column under this heading" sqref="D17" xr:uid="{00000000-0002-0000-0000-000014000000}"/>
    <dataValidation allowBlank="1" showInputMessage="1" showErrorMessage="1" prompt="Payment Date is automatically updated in this column under this heading" sqref="C17" xr:uid="{00000000-0002-0000-0000-000013000000}"/>
    <dataValidation allowBlank="1" showInputMessage="1" showErrorMessage="1" prompt="Payment Number is automatically updated in this column under this heading" sqref="B17" xr:uid="{00000000-0002-0000-0000-000012000000}"/>
    <dataValidation allowBlank="1" showInputMessage="1" showErrorMessage="1" prompt="Enter values in cells E3 through E6 for each description in column B. Values in cells E8 through E11 are automatically calculated" sqref="B2" xr:uid="{00000000-0002-0000-0000-000011000000}"/>
    <dataValidation allowBlank="1" showInputMessage="1" showErrorMessage="1" prompt="Total interest is automatically calculated in this cell" sqref="E10" xr:uid="{00000000-0002-0000-0000-00000E000000}"/>
    <dataValidation allowBlank="1" showInputMessage="1" showErrorMessage="1" prompt="Total interest is automatically calculated in cell at right" sqref="B10:D10" xr:uid="{00000000-0002-0000-0000-00000D000000}"/>
    <dataValidation allowBlank="1" showInputMessage="1" showErrorMessage="1" prompt="Number of payments is automatically calculated in this cell" sqref="E9" xr:uid="{00000000-0002-0000-0000-00000C000000}"/>
    <dataValidation allowBlank="1" showInputMessage="1" showErrorMessage="1" prompt="Number of payments is automatically calculated in cell at right" sqref="B9:D9" xr:uid="{00000000-0002-0000-0000-00000B000000}"/>
    <dataValidation allowBlank="1" showInputMessage="1" showErrorMessage="1" prompt="Monthly payment is automatically calculated in this cell" sqref="E8" xr:uid="{F3CA4ECA-D36E-4510-9AE3-C68AF9A249F9}"/>
    <dataValidation allowBlank="1" showInputMessage="1" showErrorMessage="1" prompt="Monthly payment is automatically calculated in cell at right" sqref="B8:D8" xr:uid="{00000000-0002-0000-0000-000009000000}"/>
    <dataValidation allowBlank="1" showInputMessage="1" showErrorMessage="1" prompt="Enter Start date of loan in this cell" sqref="E6" xr:uid="{00000000-0002-0000-0000-000008000000}"/>
    <dataValidation allowBlank="1" showInputMessage="1" showErrorMessage="1" prompt="Enter Start date of loan in cell at right" sqref="B6:D6" xr:uid="{00000000-0002-0000-0000-000007000000}"/>
    <dataValidation allowBlank="1" showInputMessage="1" showErrorMessage="1" prompt="Enter Loan period in years in this cell" sqref="E5" xr:uid="{00000000-0002-0000-0000-000006000000}"/>
    <dataValidation allowBlank="1" showInputMessage="1" showErrorMessage="1" prompt="Enter Loan period in years in cell at right" sqref="B5:D5" xr:uid="{00000000-0002-0000-0000-000005000000}"/>
    <dataValidation allowBlank="1" showInputMessage="1" showErrorMessage="1" prompt="Enter Annual interest rate in cell at right" sqref="B4:D4" xr:uid="{00000000-0002-0000-0000-000004000000}"/>
    <dataValidation allowBlank="1" showInputMessage="1" showErrorMessage="1" prompt="Enter Loan amount in this cell" sqref="E3" xr:uid="{00000000-0002-0000-0000-000003000000}"/>
    <dataValidation allowBlank="1" showInputMessage="1" showErrorMessage="1" prompt="Enter Loan amount in cell at right" sqref="B3:D3" xr:uid="{00000000-0002-0000-0000-000002000000}"/>
    <dataValidation allowBlank="1" showInputMessage="1" showErrorMessage="1" prompt="Title of this worksheet is in this cell. Enter Loan values in cells E3 through E6. Loan summary in cells E8 through E11 and Loan table are automatically updated" sqref="B1" xr:uid="{00000000-0002-0000-0000-000001000000}"/>
    <dataValidation allowBlank="1" showInputMessage="1" showErrorMessage="1" prompt="Create a loan repayment schedule using this Loan calculator and amortization worksheet. Total interest and total payments are automatically calculated" sqref="A1" xr:uid="{00000000-0002-0000-0000-000000000000}"/>
    <dataValidation allowBlank="1" showInputMessage="1" showErrorMessage="1" prompt="Total cost of loan is automatically calculated in this cell" sqref="E11:E14 E16" xr:uid="{00000000-0002-0000-0000-000010000000}"/>
    <dataValidation allowBlank="1" showInputMessage="1" showErrorMessage="1" prompt="Total cost of loan is automatically calculated in cell at right" sqref="B11:D14 B15 B16:D16" xr:uid="{00000000-0002-0000-0000-00000F000000}"/>
  </dataValidations>
  <printOptions horizontalCentered="1"/>
  <pageMargins left="0.5" right="0.5" top="1" bottom="1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9732-1B86-4D4F-A0FA-9404EA7DBBF0}">
  <sheetPr>
    <tabColor theme="3"/>
    <pageSetUpPr fitToPage="1"/>
  </sheetPr>
  <dimension ref="B1:H377"/>
  <sheetViews>
    <sheetView showGridLines="0" topLeftCell="A3" zoomScale="70" zoomScaleNormal="70" workbookViewId="0">
      <selection activeCell="G15" sqref="G15"/>
    </sheetView>
    <sheetView workbookViewId="1"/>
  </sheetViews>
  <sheetFormatPr defaultColWidth="8.734375" defaultRowHeight="14.4"/>
  <cols>
    <col min="1" max="1" width="2.7890625" style="393" customWidth="1"/>
    <col min="2" max="2" width="6.26171875" style="393" customWidth="1"/>
    <col min="3" max="3" width="14.7890625" style="393" customWidth="1"/>
    <col min="4" max="4" width="18.1015625" style="393" customWidth="1"/>
    <col min="5" max="5" width="18" style="393" customWidth="1"/>
    <col min="6" max="7" width="14.7890625" style="393" customWidth="1"/>
    <col min="8" max="8" width="17.47265625" style="393" customWidth="1"/>
    <col min="9" max="9" width="2.7890625" style="393" customWidth="1"/>
    <col min="10" max="16384" width="8.734375" style="393"/>
  </cols>
  <sheetData>
    <row r="1" spans="2:8" ht="30" customHeight="1">
      <c r="B1" s="403" t="s">
        <v>446</v>
      </c>
      <c r="C1" s="402"/>
      <c r="D1" s="402"/>
      <c r="E1" s="402"/>
      <c r="F1" s="402"/>
      <c r="G1" s="402"/>
      <c r="H1" s="402"/>
    </row>
    <row r="2" spans="2:8" ht="30" customHeight="1">
      <c r="B2" s="633" t="s">
        <v>445</v>
      </c>
      <c r="C2" s="633"/>
      <c r="D2" s="633"/>
      <c r="E2" s="633"/>
    </row>
    <row r="3" spans="2:8">
      <c r="B3" s="636" t="s">
        <v>413</v>
      </c>
      <c r="C3" s="636"/>
      <c r="D3" s="637"/>
      <c r="E3" s="405">
        <f>combined!Q79</f>
        <v>204362521.39610708</v>
      </c>
    </row>
    <row r="4" spans="2:8">
      <c r="B4" s="634" t="s">
        <v>444</v>
      </c>
      <c r="C4" s="634"/>
      <c r="D4" s="638"/>
      <c r="E4" s="406">
        <f>permanentinterestrate</f>
        <v>6.5000000000000002E-2</v>
      </c>
    </row>
    <row r="5" spans="2:8">
      <c r="B5" s="634" t="s">
        <v>443</v>
      </c>
      <c r="C5" s="634"/>
      <c r="D5" s="638"/>
      <c r="E5" s="407">
        <f>amortizationschedule</f>
        <v>30</v>
      </c>
    </row>
    <row r="6" spans="2:8">
      <c r="B6" s="634" t="s">
        <v>442</v>
      </c>
      <c r="C6" s="634"/>
      <c r="D6" s="638"/>
      <c r="E6" s="401">
        <v>43831</v>
      </c>
      <c r="F6" s="401"/>
    </row>
    <row r="7" spans="2:8">
      <c r="B7" s="400"/>
      <c r="C7" s="400"/>
      <c r="D7" s="400"/>
    </row>
    <row r="8" spans="2:8">
      <c r="B8" s="634" t="s">
        <v>441</v>
      </c>
      <c r="C8" s="634"/>
      <c r="D8" s="635"/>
      <c r="E8" s="404">
        <f>IFERROR(IF(Values_Entered,Monthly_Payment,""), "")</f>
        <v>1291710.1497487591</v>
      </c>
    </row>
    <row r="9" spans="2:8">
      <c r="B9" s="634" t="s">
        <v>440</v>
      </c>
      <c r="C9" s="634"/>
      <c r="D9" s="635"/>
      <c r="E9" s="399">
        <f>IFERROR(IF(Values_Entered,Loan_Years*12,""), "")</f>
        <v>360</v>
      </c>
    </row>
    <row r="10" spans="2:8">
      <c r="B10" s="634" t="s">
        <v>439</v>
      </c>
      <c r="C10" s="634"/>
      <c r="D10" s="635"/>
      <c r="E10" s="398">
        <f>IFERROR(IF(Values_Entered,Total_Cost-Loan_Amount,""), "")</f>
        <v>260653132.51344621</v>
      </c>
    </row>
    <row r="11" spans="2:8">
      <c r="B11" s="634" t="s">
        <v>438</v>
      </c>
      <c r="C11" s="634"/>
      <c r="D11" s="635"/>
      <c r="E11" s="404">
        <f>IFERROR(IF(Values_Entered,Monthly_Payment*Number_of_Payments,""), "")</f>
        <v>465015653.90955329</v>
      </c>
    </row>
    <row r="12" spans="2:8">
      <c r="B12" s="408"/>
      <c r="C12" s="408"/>
      <c r="D12" s="409"/>
      <c r="E12" s="410"/>
    </row>
    <row r="13" spans="2:8">
      <c r="B13" s="408"/>
      <c r="C13" s="412" t="s">
        <v>447</v>
      </c>
      <c r="D13" s="409"/>
      <c r="E13" s="418">
        <f>Phase2open</f>
        <v>5</v>
      </c>
    </row>
    <row r="14" spans="2:8">
      <c r="B14" s="408"/>
      <c r="C14" s="412" t="s">
        <v>187</v>
      </c>
      <c r="D14" s="409"/>
      <c r="E14" s="418">
        <f>dispositionyear</f>
        <v>10</v>
      </c>
      <c r="F14" s="411"/>
    </row>
    <row r="15" spans="2:8">
      <c r="B15" s="408"/>
      <c r="C15" s="413" t="s">
        <v>449</v>
      </c>
      <c r="E15" s="419">
        <f>(E14-E13)*12</f>
        <v>60</v>
      </c>
    </row>
    <row r="16" spans="2:8">
      <c r="B16" s="408"/>
      <c r="C16" s="412" t="s">
        <v>448</v>
      </c>
      <c r="D16" s="409"/>
      <c r="E16" s="410">
        <f>VLOOKUP(E15,Loan3[#All],7,TRUE)</f>
        <v>191305753.80312139</v>
      </c>
    </row>
    <row r="17" spans="2:8" ht="38.5" customHeight="1">
      <c r="B17" s="397" t="s">
        <v>437</v>
      </c>
      <c r="C17" s="397" t="s">
        <v>284</v>
      </c>
      <c r="D17" s="397" t="s">
        <v>436</v>
      </c>
      <c r="E17" s="397" t="s">
        <v>435</v>
      </c>
      <c r="F17" s="397" t="s">
        <v>434</v>
      </c>
      <c r="G17" s="397" t="s">
        <v>433</v>
      </c>
      <c r="H17" s="397" t="s">
        <v>432</v>
      </c>
    </row>
    <row r="18" spans="2:8">
      <c r="B18" s="396">
        <f>IFERROR(IF(Loan_Not_Paid*Values_Entered,Payment_Number,""), "")</f>
        <v>1</v>
      </c>
      <c r="C18" s="395"/>
      <c r="D18" s="394">
        <f>IFERROR(IF(Loan_Not_Paid*Values_Entered,Beginning_Balance,""), "")</f>
        <v>204362521.39610708</v>
      </c>
      <c r="E18" s="394">
        <f>IFERROR(IF(Loan_Not_Paid*Values_Entered,Monthly_Payment,""), "")</f>
        <v>1291710.1497487591</v>
      </c>
      <c r="F18" s="394">
        <f>IFERROR(IF(Loan_Not_Paid*Values_Entered,Principal,""), "")</f>
        <v>184746.49218651239</v>
      </c>
      <c r="G18" s="394">
        <f>IFERROR(IF(Loan_Not_Paid*Values_Entered,Interest,""), "")</f>
        <v>1106963.6575622468</v>
      </c>
      <c r="H18" s="394">
        <f>IFERROR(IF(Loan_Not_Paid*Values_Entered,Ending_Balance,""), "")</f>
        <v>204177774.90392056</v>
      </c>
    </row>
    <row r="19" spans="2:8">
      <c r="B19" s="396">
        <f>IFERROR(IF(Loan_Not_Paid*Values_Entered,Payment_Number,""), "")</f>
        <v>2</v>
      </c>
      <c r="C19" s="395"/>
      <c r="D19" s="394">
        <f>IFERROR(IF(Loan_Not_Paid*Values_Entered,Beginning_Balance,""), "")</f>
        <v>204177774.90392056</v>
      </c>
      <c r="E19" s="394">
        <f>IFERROR(IF(Loan_Not_Paid*Values_Entered,Monthly_Payment,""), "")</f>
        <v>1291710.1497487591</v>
      </c>
      <c r="F19" s="394">
        <f>IFERROR(IF(Loan_Not_Paid*Values_Entered,Principal,""), "")</f>
        <v>185747.20235252261</v>
      </c>
      <c r="G19" s="394">
        <f>IFERROR(IF(Loan_Not_Paid*Values_Entered,Interest,""), "")</f>
        <v>1105962.9473962365</v>
      </c>
      <c r="H19" s="394">
        <f>IFERROR(IF(Loan_Not_Paid*Values_Entered,Ending_Balance,""), "")</f>
        <v>203992027.70156807</v>
      </c>
    </row>
    <row r="20" spans="2:8">
      <c r="B20" s="396">
        <f>IFERROR(IF(Loan_Not_Paid*Values_Entered,Payment_Number,""), "")</f>
        <v>3</v>
      </c>
      <c r="C20" s="395"/>
      <c r="D20" s="394">
        <f>IFERROR(IF(Loan_Not_Paid*Values_Entered,Beginning_Balance,""), "")</f>
        <v>203992027.70156807</v>
      </c>
      <c r="E20" s="394">
        <f>IFERROR(IF(Loan_Not_Paid*Values_Entered,Monthly_Payment,""), "")</f>
        <v>1291710.1497487591</v>
      </c>
      <c r="F20" s="394">
        <f>IFERROR(IF(Loan_Not_Paid*Values_Entered,Principal,""), "")</f>
        <v>186753.33303193215</v>
      </c>
      <c r="G20" s="394">
        <f>IFERROR(IF(Loan_Not_Paid*Values_Entered,Interest,""), "")</f>
        <v>1104956.816716827</v>
      </c>
      <c r="H20" s="394">
        <f>IFERROR(IF(Loan_Not_Paid*Values_Entered,Ending_Balance,""), "")</f>
        <v>203805274.36853611</v>
      </c>
    </row>
    <row r="21" spans="2:8">
      <c r="B21" s="396">
        <f>IFERROR(IF(Loan_Not_Paid*Values_Entered,Payment_Number,""), "")</f>
        <v>4</v>
      </c>
      <c r="C21" s="395"/>
      <c r="D21" s="394">
        <f>IFERROR(IF(Loan_Not_Paid*Values_Entered,Beginning_Balance,""), "")</f>
        <v>203805274.36853611</v>
      </c>
      <c r="E21" s="394">
        <f>IFERROR(IF(Loan_Not_Paid*Values_Entered,Monthly_Payment,""), "")</f>
        <v>1291710.1497487591</v>
      </c>
      <c r="F21" s="394">
        <f>IFERROR(IF(Loan_Not_Paid*Values_Entered,Principal,""), "")</f>
        <v>187764.9135858551</v>
      </c>
      <c r="G21" s="394">
        <f>IFERROR(IF(Loan_Not_Paid*Values_Entered,Interest,""), "")</f>
        <v>1103945.236162904</v>
      </c>
      <c r="H21" s="394">
        <f>IFERROR(IF(Loan_Not_Paid*Values_Entered,Ending_Balance,""), "")</f>
        <v>203617509.45495027</v>
      </c>
    </row>
    <row r="22" spans="2:8">
      <c r="B22" s="396">
        <f>IFERROR(IF(Loan_Not_Paid*Values_Entered,Payment_Number,""), "")</f>
        <v>5</v>
      </c>
      <c r="C22" s="395"/>
      <c r="D22" s="394">
        <f>IFERROR(IF(Loan_Not_Paid*Values_Entered,Beginning_Balance,""), "")</f>
        <v>203617509.45495027</v>
      </c>
      <c r="E22" s="394">
        <f>IFERROR(IF(Loan_Not_Paid*Values_Entered,Monthly_Payment,""), "")</f>
        <v>1291710.1497487591</v>
      </c>
      <c r="F22" s="394">
        <f>IFERROR(IF(Loan_Not_Paid*Values_Entered,Principal,""), "")</f>
        <v>188781.97353444516</v>
      </c>
      <c r="G22" s="394">
        <f>IFERROR(IF(Loan_Not_Paid*Values_Entered,Interest,""), "")</f>
        <v>1102928.1762143141</v>
      </c>
      <c r="H22" s="394">
        <f>IFERROR(IF(Loan_Not_Paid*Values_Entered,Ending_Balance,""), "")</f>
        <v>203428727.48141581</v>
      </c>
    </row>
    <row r="23" spans="2:8">
      <c r="B23" s="396">
        <f>IFERROR(IF(Loan_Not_Paid*Values_Entered,Payment_Number,""), "")</f>
        <v>6</v>
      </c>
      <c r="C23" s="395"/>
      <c r="D23" s="394">
        <f>IFERROR(IF(Loan_Not_Paid*Values_Entered,Beginning_Balance,""), "")</f>
        <v>203428727.48141581</v>
      </c>
      <c r="E23" s="394">
        <f>IFERROR(IF(Loan_Not_Paid*Values_Entered,Monthly_Payment,""), "")</f>
        <v>1291710.1497487591</v>
      </c>
      <c r="F23" s="394">
        <f>IFERROR(IF(Loan_Not_Paid*Values_Entered,Principal,""), "")</f>
        <v>189804.54255775668</v>
      </c>
      <c r="G23" s="394">
        <f>IFERROR(IF(Loan_Not_Paid*Values_Entered,Interest,""), "")</f>
        <v>1101905.6071910025</v>
      </c>
      <c r="H23" s="394">
        <f>IFERROR(IF(Loan_Not_Paid*Values_Entered,Ending_Balance,""), "")</f>
        <v>203238922.93885806</v>
      </c>
    </row>
    <row r="24" spans="2:8">
      <c r="B24" s="396">
        <f>IFERROR(IF(Loan_Not_Paid*Values_Entered,Payment_Number,""), "")</f>
        <v>7</v>
      </c>
      <c r="C24" s="395"/>
      <c r="D24" s="394">
        <f>IFERROR(IF(Loan_Not_Paid*Values_Entered,Beginning_Balance,""), "")</f>
        <v>203238922.93885806</v>
      </c>
      <c r="E24" s="394">
        <f>IFERROR(IF(Loan_Not_Paid*Values_Entered,Monthly_Payment,""), "")</f>
        <v>1291710.1497487591</v>
      </c>
      <c r="F24" s="394">
        <f>IFERROR(IF(Loan_Not_Paid*Values_Entered,Principal,""), "")</f>
        <v>190832.65049661123</v>
      </c>
      <c r="G24" s="394">
        <f>IFERROR(IF(Loan_Not_Paid*Values_Entered,Interest,""), "")</f>
        <v>1100877.499252148</v>
      </c>
      <c r="H24" s="394">
        <f>IFERROR(IF(Loan_Not_Paid*Values_Entered,Ending_Balance,""), "")</f>
        <v>203048090.28836146</v>
      </c>
    </row>
    <row r="25" spans="2:8">
      <c r="B25" s="396">
        <f>IFERROR(IF(Loan_Not_Paid*Values_Entered,Payment_Number,""), "")</f>
        <v>8</v>
      </c>
      <c r="C25" s="395"/>
      <c r="D25" s="394">
        <f>IFERROR(IF(Loan_Not_Paid*Values_Entered,Beginning_Balance,""), "")</f>
        <v>203048090.28836146</v>
      </c>
      <c r="E25" s="394">
        <f>IFERROR(IF(Loan_Not_Paid*Values_Entered,Monthly_Payment,""), "")</f>
        <v>1291710.1497487591</v>
      </c>
      <c r="F25" s="394">
        <f>IFERROR(IF(Loan_Not_Paid*Values_Entered,Principal,""), "")</f>
        <v>191866.3273534679</v>
      </c>
      <c r="G25" s="394">
        <f>IFERROR(IF(Loan_Not_Paid*Values_Entered,Interest,""), "")</f>
        <v>1099843.8223952912</v>
      </c>
      <c r="H25" s="394">
        <f>IFERROR(IF(Loan_Not_Paid*Values_Entered,Ending_Balance,""), "")</f>
        <v>202856223.96100798</v>
      </c>
    </row>
    <row r="26" spans="2:8">
      <c r="B26" s="396">
        <f>IFERROR(IF(Loan_Not_Paid*Values_Entered,Payment_Number,""), "")</f>
        <v>9</v>
      </c>
      <c r="C26" s="395"/>
      <c r="D26" s="394">
        <f>IFERROR(IF(Loan_Not_Paid*Values_Entered,Beginning_Balance,""), "")</f>
        <v>202856223.96100798</v>
      </c>
      <c r="E26" s="394">
        <f>IFERROR(IF(Loan_Not_Paid*Values_Entered,Monthly_Payment,""), "")</f>
        <v>1291710.1497487591</v>
      </c>
      <c r="F26" s="394">
        <f>IFERROR(IF(Loan_Not_Paid*Values_Entered,Principal,""), "")</f>
        <v>192905.60329329915</v>
      </c>
      <c r="G26" s="394">
        <f>IFERROR(IF(Loan_Not_Paid*Values_Entered,Interest,""), "")</f>
        <v>1098804.5464554599</v>
      </c>
      <c r="H26" s="394">
        <f>IFERROR(IF(Loan_Not_Paid*Values_Entered,Ending_Balance,""), "")</f>
        <v>202663318.35771468</v>
      </c>
    </row>
    <row r="27" spans="2:8">
      <c r="B27" s="396">
        <f>IFERROR(IF(Loan_Not_Paid*Values_Entered,Payment_Number,""), "")</f>
        <v>10</v>
      </c>
      <c r="C27" s="395"/>
      <c r="D27" s="394">
        <f>IFERROR(IF(Loan_Not_Paid*Values_Entered,Beginning_Balance,""), "")</f>
        <v>202663318.35771468</v>
      </c>
      <c r="E27" s="394">
        <f>IFERROR(IF(Loan_Not_Paid*Values_Entered,Monthly_Payment,""), "")</f>
        <v>1291710.1497487591</v>
      </c>
      <c r="F27" s="394">
        <f>IFERROR(IF(Loan_Not_Paid*Values_Entered,Principal,""), "")</f>
        <v>193950.50864447124</v>
      </c>
      <c r="G27" s="394">
        <f>IFERROR(IF(Loan_Not_Paid*Values_Entered,Interest,""), "")</f>
        <v>1097759.6411042879</v>
      </c>
      <c r="H27" s="394">
        <f>IFERROR(IF(Loan_Not_Paid*Values_Entered,Ending_Balance,""), "")</f>
        <v>202469367.84907022</v>
      </c>
    </row>
    <row r="28" spans="2:8">
      <c r="B28" s="396">
        <f>IFERROR(IF(Loan_Not_Paid*Values_Entered,Payment_Number,""), "")</f>
        <v>11</v>
      </c>
      <c r="C28" s="395"/>
      <c r="D28" s="394">
        <f>IFERROR(IF(Loan_Not_Paid*Values_Entered,Beginning_Balance,""), "")</f>
        <v>202469367.84907022</v>
      </c>
      <c r="E28" s="394">
        <f>IFERROR(IF(Loan_Not_Paid*Values_Entered,Monthly_Payment,""), "")</f>
        <v>1291710.1497487591</v>
      </c>
      <c r="F28" s="394">
        <f>IFERROR(IF(Loan_Not_Paid*Values_Entered,Principal,""), "")</f>
        <v>195001.07389962874</v>
      </c>
      <c r="G28" s="394">
        <f>IFERROR(IF(Loan_Not_Paid*Values_Entered,Interest,""), "")</f>
        <v>1096709.0758491305</v>
      </c>
      <c r="H28" s="394">
        <f>IFERROR(IF(Loan_Not_Paid*Values_Entered,Ending_Balance,""), "")</f>
        <v>202274366.77517059</v>
      </c>
    </row>
    <row r="29" spans="2:8">
      <c r="B29" s="396">
        <f>IFERROR(IF(Loan_Not_Paid*Values_Entered,Payment_Number,""), "")</f>
        <v>12</v>
      </c>
      <c r="C29" s="395"/>
      <c r="D29" s="394">
        <f>IFERROR(IF(Loan_Not_Paid*Values_Entered,Beginning_Balance,""), "")</f>
        <v>202274366.77517059</v>
      </c>
      <c r="E29" s="394">
        <f>IFERROR(IF(Loan_Not_Paid*Values_Entered,Monthly_Payment,""), "")</f>
        <v>1291710.1497487591</v>
      </c>
      <c r="F29" s="394">
        <f>IFERROR(IF(Loan_Not_Paid*Values_Entered,Principal,""), "")</f>
        <v>196057.32971658508</v>
      </c>
      <c r="G29" s="394">
        <f>IFERROR(IF(Loan_Not_Paid*Values_Entered,Interest,""), "")</f>
        <v>1095652.820032174</v>
      </c>
      <c r="H29" s="394">
        <f>IFERROR(IF(Loan_Not_Paid*Values_Entered,Ending_Balance,""), "")</f>
        <v>202078309.44545403</v>
      </c>
    </row>
    <row r="30" spans="2:8">
      <c r="B30" s="396">
        <f>IFERROR(IF(Loan_Not_Paid*Values_Entered,Payment_Number,""), "")</f>
        <v>13</v>
      </c>
      <c r="C30" s="395"/>
      <c r="D30" s="394">
        <f>IFERROR(IF(Loan_Not_Paid*Values_Entered,Beginning_Balance,""), "")</f>
        <v>202078309.44545403</v>
      </c>
      <c r="E30" s="394">
        <f>IFERROR(IF(Loan_Not_Paid*Values_Entered,Monthly_Payment,""), "")</f>
        <v>1291710.1497487591</v>
      </c>
      <c r="F30" s="394">
        <f>IFERROR(IF(Loan_Not_Paid*Values_Entered,Principal,""), "")</f>
        <v>197119.30691921659</v>
      </c>
      <c r="G30" s="394">
        <f>IFERROR(IF(Loan_Not_Paid*Values_Entered,Interest,""), "")</f>
        <v>1094590.8428295425</v>
      </c>
      <c r="H30" s="394">
        <f>IFERROR(IF(Loan_Not_Paid*Values_Entered,Ending_Balance,""), "")</f>
        <v>201881190.13853481</v>
      </c>
    </row>
    <row r="31" spans="2:8">
      <c r="B31" s="396">
        <f>IFERROR(IF(Loan_Not_Paid*Values_Entered,Payment_Number,""), "")</f>
        <v>14</v>
      </c>
      <c r="C31" s="395"/>
      <c r="D31" s="394">
        <f>IFERROR(IF(Loan_Not_Paid*Values_Entered,Beginning_Balance,""), "")</f>
        <v>201881190.13853481</v>
      </c>
      <c r="E31" s="394">
        <f>IFERROR(IF(Loan_Not_Paid*Values_Entered,Monthly_Payment,""), "")</f>
        <v>1291710.1497487591</v>
      </c>
      <c r="F31" s="394">
        <f>IFERROR(IF(Loan_Not_Paid*Values_Entered,Principal,""), "")</f>
        <v>198187.03649836234</v>
      </c>
      <c r="G31" s="394">
        <f>IFERROR(IF(Loan_Not_Paid*Values_Entered,Interest,""), "")</f>
        <v>1093523.1132503967</v>
      </c>
      <c r="H31" s="394">
        <f>IFERROR(IF(Loan_Not_Paid*Values_Entered,Ending_Balance,""), "")</f>
        <v>201683003.10203645</v>
      </c>
    </row>
    <row r="32" spans="2:8">
      <c r="B32" s="396">
        <f>IFERROR(IF(Loan_Not_Paid*Values_Entered,Payment_Number,""), "")</f>
        <v>15</v>
      </c>
      <c r="C32" s="395"/>
      <c r="D32" s="394">
        <f>IFERROR(IF(Loan_Not_Paid*Values_Entered,Beginning_Balance,""), "")</f>
        <v>201683003.10203645</v>
      </c>
      <c r="E32" s="394">
        <f>IFERROR(IF(Loan_Not_Paid*Values_Entered,Monthly_Payment,""), "")</f>
        <v>1291710.1497487591</v>
      </c>
      <c r="F32" s="394">
        <f>IFERROR(IF(Loan_Not_Paid*Values_Entered,Principal,""), "")</f>
        <v>199260.54961272847</v>
      </c>
      <c r="G32" s="394">
        <f>IFERROR(IF(Loan_Not_Paid*Values_Entered,Interest,""), "")</f>
        <v>1092449.6001360307</v>
      </c>
      <c r="H32" s="394">
        <f>IFERROR(IF(Loan_Not_Paid*Values_Entered,Ending_Balance,""), "")</f>
        <v>201483742.55242372</v>
      </c>
    </row>
    <row r="33" spans="2:8">
      <c r="B33" s="396">
        <f>IFERROR(IF(Loan_Not_Paid*Values_Entered,Payment_Number,""), "")</f>
        <v>16</v>
      </c>
      <c r="C33" s="395"/>
      <c r="D33" s="394">
        <f>IFERROR(IF(Loan_Not_Paid*Values_Entered,Beginning_Balance,""), "")</f>
        <v>201483742.55242372</v>
      </c>
      <c r="E33" s="394">
        <f>IFERROR(IF(Loan_Not_Paid*Values_Entered,Monthly_Payment,""), "")</f>
        <v>1291710.1497487591</v>
      </c>
      <c r="F33" s="394">
        <f>IFERROR(IF(Loan_Not_Paid*Values_Entered,Principal,""), "")</f>
        <v>200339.8775897974</v>
      </c>
      <c r="G33" s="394">
        <f>IFERROR(IF(Loan_Not_Paid*Values_Entered,Interest,""), "")</f>
        <v>1091370.2721589617</v>
      </c>
      <c r="H33" s="394">
        <f>IFERROR(IF(Loan_Not_Paid*Values_Entered,Ending_Balance,""), "")</f>
        <v>201283402.67483392</v>
      </c>
    </row>
    <row r="34" spans="2:8">
      <c r="B34" s="396">
        <f>IFERROR(IF(Loan_Not_Paid*Values_Entered,Payment_Number,""), "")</f>
        <v>17</v>
      </c>
      <c r="C34" s="395"/>
      <c r="D34" s="394">
        <f>IFERROR(IF(Loan_Not_Paid*Values_Entered,Beginning_Balance,""), "")</f>
        <v>201283402.67483392</v>
      </c>
      <c r="E34" s="394">
        <f>IFERROR(IF(Loan_Not_Paid*Values_Entered,Monthly_Payment,""), "")</f>
        <v>1291710.1497487591</v>
      </c>
      <c r="F34" s="394">
        <f>IFERROR(IF(Loan_Not_Paid*Values_Entered,Principal,""), "")</f>
        <v>201425.05192674213</v>
      </c>
      <c r="G34" s="394">
        <f>IFERROR(IF(Loan_Not_Paid*Values_Entered,Interest,""), "")</f>
        <v>1090285.097822017</v>
      </c>
      <c r="H34" s="394">
        <f>IFERROR(IF(Loan_Not_Paid*Values_Entered,Ending_Balance,""), "")</f>
        <v>201081977.62290719</v>
      </c>
    </row>
    <row r="35" spans="2:8">
      <c r="B35" s="396">
        <f>IFERROR(IF(Loan_Not_Paid*Values_Entered,Payment_Number,""), "")</f>
        <v>18</v>
      </c>
      <c r="C35" s="395"/>
      <c r="D35" s="394">
        <f>IFERROR(IF(Loan_Not_Paid*Values_Entered,Beginning_Balance,""), "")</f>
        <v>201081977.62290719</v>
      </c>
      <c r="E35" s="394">
        <f>IFERROR(IF(Loan_Not_Paid*Values_Entered,Monthly_Payment,""), "")</f>
        <v>1291710.1497487591</v>
      </c>
      <c r="F35" s="394">
        <f>IFERROR(IF(Loan_Not_Paid*Values_Entered,Principal,""), "")</f>
        <v>202516.10429134534</v>
      </c>
      <c r="G35" s="394">
        <f>IFERROR(IF(Loan_Not_Paid*Values_Entered,Interest,""), "")</f>
        <v>1089194.0454574139</v>
      </c>
      <c r="H35" s="394">
        <f>IFERROR(IF(Loan_Not_Paid*Values_Entered,Ending_Balance,""), "")</f>
        <v>200879461.51861584</v>
      </c>
    </row>
    <row r="36" spans="2:8">
      <c r="B36" s="396">
        <f>IFERROR(IF(Loan_Not_Paid*Values_Entered,Payment_Number,""), "")</f>
        <v>19</v>
      </c>
      <c r="C36" s="395"/>
      <c r="D36" s="394">
        <f>IFERROR(IF(Loan_Not_Paid*Values_Entered,Beginning_Balance,""), "")</f>
        <v>200879461.51861584</v>
      </c>
      <c r="E36" s="394">
        <f>IFERROR(IF(Loan_Not_Paid*Values_Entered,Monthly_Payment,""), "")</f>
        <v>1291710.1497487591</v>
      </c>
      <c r="F36" s="394">
        <f>IFERROR(IF(Loan_Not_Paid*Values_Entered,Principal,""), "")</f>
        <v>203613.0665229235</v>
      </c>
      <c r="G36" s="394">
        <f>IFERROR(IF(Loan_Not_Paid*Values_Entered,Interest,""), "")</f>
        <v>1088097.0832258356</v>
      </c>
      <c r="H36" s="394">
        <f>IFERROR(IF(Loan_Not_Paid*Values_Entered,Ending_Balance,""), "")</f>
        <v>200675848.45209292</v>
      </c>
    </row>
    <row r="37" spans="2:8">
      <c r="B37" s="396">
        <f>IFERROR(IF(Loan_Not_Paid*Values_Entered,Payment_Number,""), "")</f>
        <v>20</v>
      </c>
      <c r="C37" s="395"/>
      <c r="D37" s="394">
        <f>IFERROR(IF(Loan_Not_Paid*Values_Entered,Beginning_Balance,""), "")</f>
        <v>200675848.45209292</v>
      </c>
      <c r="E37" s="394">
        <f>IFERROR(IF(Loan_Not_Paid*Values_Entered,Monthly_Payment,""), "")</f>
        <v>1291710.1497487591</v>
      </c>
      <c r="F37" s="394">
        <f>IFERROR(IF(Loan_Not_Paid*Values_Entered,Principal,""), "")</f>
        <v>204715.97063325599</v>
      </c>
      <c r="G37" s="394">
        <f>IFERROR(IF(Loan_Not_Paid*Values_Entered,Interest,""), "")</f>
        <v>1086994.1791155031</v>
      </c>
      <c r="H37" s="394">
        <f>IFERROR(IF(Loan_Not_Paid*Values_Entered,Ending_Balance,""), "")</f>
        <v>200471132.48145968</v>
      </c>
    </row>
    <row r="38" spans="2:8">
      <c r="B38" s="396">
        <f>IFERROR(IF(Loan_Not_Paid*Values_Entered,Payment_Number,""), "")</f>
        <v>21</v>
      </c>
      <c r="C38" s="395"/>
      <c r="D38" s="394">
        <f>IFERROR(IF(Loan_Not_Paid*Values_Entered,Beginning_Balance,""), "")</f>
        <v>200471132.48145968</v>
      </c>
      <c r="E38" s="394">
        <f>IFERROR(IF(Loan_Not_Paid*Values_Entered,Monthly_Payment,""), "")</f>
        <v>1291710.1497487591</v>
      </c>
      <c r="F38" s="394">
        <f>IFERROR(IF(Loan_Not_Paid*Values_Entered,Principal,""), "")</f>
        <v>205824.84880751942</v>
      </c>
      <c r="G38" s="394">
        <f>IFERROR(IF(Loan_Not_Paid*Values_Entered,Interest,""), "")</f>
        <v>1085885.3009412398</v>
      </c>
      <c r="H38" s="394">
        <f>IFERROR(IF(Loan_Not_Paid*Values_Entered,Ending_Balance,""), "")</f>
        <v>200265307.63265213</v>
      </c>
    </row>
    <row r="39" spans="2:8">
      <c r="B39" s="396">
        <f>IFERROR(IF(Loan_Not_Paid*Values_Entered,Payment_Number,""), "")</f>
        <v>22</v>
      </c>
      <c r="C39" s="395"/>
      <c r="D39" s="394">
        <f>IFERROR(IF(Loan_Not_Paid*Values_Entered,Beginning_Balance,""), "")</f>
        <v>200265307.63265213</v>
      </c>
      <c r="E39" s="394">
        <f>IFERROR(IF(Loan_Not_Paid*Values_Entered,Monthly_Payment,""), "")</f>
        <v>1291710.1497487591</v>
      </c>
      <c r="F39" s="394">
        <f>IFERROR(IF(Loan_Not_Paid*Values_Entered,Principal,""), "")</f>
        <v>206939.73340522684</v>
      </c>
      <c r="G39" s="394">
        <f>IFERROR(IF(Loan_Not_Paid*Values_Entered,Interest,""), "")</f>
        <v>1084770.4163435323</v>
      </c>
      <c r="H39" s="394">
        <f>IFERROR(IF(Loan_Not_Paid*Values_Entered,Ending_Balance,""), "")</f>
        <v>200058367.8992469</v>
      </c>
    </row>
    <row r="40" spans="2:8">
      <c r="B40" s="396">
        <f>IFERROR(IF(Loan_Not_Paid*Values_Entered,Payment_Number,""), "")</f>
        <v>23</v>
      </c>
      <c r="C40" s="395"/>
      <c r="D40" s="394">
        <f>IFERROR(IF(Loan_Not_Paid*Values_Entered,Beginning_Balance,""), "")</f>
        <v>200058367.8992469</v>
      </c>
      <c r="E40" s="394">
        <f>IFERROR(IF(Loan_Not_Paid*Values_Entered,Monthly_Payment,""), "")</f>
        <v>1291710.1497487591</v>
      </c>
      <c r="F40" s="394">
        <f>IFERROR(IF(Loan_Not_Paid*Values_Entered,Principal,""), "")</f>
        <v>208060.6569611718</v>
      </c>
      <c r="G40" s="394">
        <f>IFERROR(IF(Loan_Not_Paid*Values_Entered,Interest,""), "")</f>
        <v>1083649.4927875872</v>
      </c>
      <c r="H40" s="394">
        <f>IFERROR(IF(Loan_Not_Paid*Values_Entered,Ending_Balance,""), "")</f>
        <v>199850307.24228576</v>
      </c>
    </row>
    <row r="41" spans="2:8">
      <c r="B41" s="396">
        <f>IFERROR(IF(Loan_Not_Paid*Values_Entered,Payment_Number,""), "")</f>
        <v>24</v>
      </c>
      <c r="C41" s="395"/>
      <c r="D41" s="394">
        <f>IFERROR(IF(Loan_Not_Paid*Values_Entered,Beginning_Balance,""), "")</f>
        <v>199850307.24228576</v>
      </c>
      <c r="E41" s="394">
        <f>IFERROR(IF(Loan_Not_Paid*Values_Entered,Monthly_Payment,""), "")</f>
        <v>1291710.1497487591</v>
      </c>
      <c r="F41" s="394">
        <f>IFERROR(IF(Loan_Not_Paid*Values_Entered,Principal,""), "")</f>
        <v>209187.65218637817</v>
      </c>
      <c r="G41" s="394">
        <f>IFERROR(IF(Loan_Not_Paid*Values_Entered,Interest,""), "")</f>
        <v>1082522.497562381</v>
      </c>
      <c r="H41" s="394">
        <f>IFERROR(IF(Loan_Not_Paid*Values_Entered,Ending_Balance,""), "")</f>
        <v>199641119.59009939</v>
      </c>
    </row>
    <row r="42" spans="2:8">
      <c r="B42" s="396">
        <f>IFERROR(IF(Loan_Not_Paid*Values_Entered,Payment_Number,""), "")</f>
        <v>25</v>
      </c>
      <c r="C42" s="395"/>
      <c r="D42" s="394">
        <f>IFERROR(IF(Loan_Not_Paid*Values_Entered,Beginning_Balance,""), "")</f>
        <v>199641119.59009939</v>
      </c>
      <c r="E42" s="394">
        <f>IFERROR(IF(Loan_Not_Paid*Values_Entered,Monthly_Payment,""), "")</f>
        <v>1291710.1497487591</v>
      </c>
      <c r="F42" s="394">
        <f>IFERROR(IF(Loan_Not_Paid*Values_Entered,Principal,""), "")</f>
        <v>210320.75196905443</v>
      </c>
      <c r="G42" s="394">
        <f>IFERROR(IF(Loan_Not_Paid*Values_Entered,Interest,""), "")</f>
        <v>1081389.3977797045</v>
      </c>
      <c r="H42" s="394">
        <f>IFERROR(IF(Loan_Not_Paid*Values_Entered,Ending_Balance,""), "")</f>
        <v>199430798.8381303</v>
      </c>
    </row>
    <row r="43" spans="2:8">
      <c r="B43" s="396">
        <f>IFERROR(IF(Loan_Not_Paid*Values_Entered,Payment_Number,""), "")</f>
        <v>26</v>
      </c>
      <c r="C43" s="395"/>
      <c r="D43" s="394">
        <f>IFERROR(IF(Loan_Not_Paid*Values_Entered,Beginning_Balance,""), "")</f>
        <v>199430798.8381303</v>
      </c>
      <c r="E43" s="394">
        <f>IFERROR(IF(Loan_Not_Paid*Values_Entered,Monthly_Payment,""), "")</f>
        <v>1291710.1497487591</v>
      </c>
      <c r="F43" s="394">
        <f>IFERROR(IF(Loan_Not_Paid*Values_Entered,Principal,""), "")</f>
        <v>211459.98937555341</v>
      </c>
      <c r="G43" s="394">
        <f>IFERROR(IF(Loan_Not_Paid*Values_Entered,Interest,""), "")</f>
        <v>1080250.1603732056</v>
      </c>
      <c r="H43" s="394">
        <f>IFERROR(IF(Loan_Not_Paid*Values_Entered,Ending_Balance,""), "")</f>
        <v>199219338.84875476</v>
      </c>
    </row>
    <row r="44" spans="2:8">
      <c r="B44" s="396">
        <f>IFERROR(IF(Loan_Not_Paid*Values_Entered,Payment_Number,""), "")</f>
        <v>27</v>
      </c>
      <c r="C44" s="395"/>
      <c r="D44" s="394">
        <f>IFERROR(IF(Loan_Not_Paid*Values_Entered,Beginning_Balance,""), "")</f>
        <v>199219338.84875476</v>
      </c>
      <c r="E44" s="394">
        <f>IFERROR(IF(Loan_Not_Paid*Values_Entered,Monthly_Payment,""), "")</f>
        <v>1291710.1497487591</v>
      </c>
      <c r="F44" s="394">
        <f>IFERROR(IF(Loan_Not_Paid*Values_Entered,Principal,""), "")</f>
        <v>212605.39765133767</v>
      </c>
      <c r="G44" s="394">
        <f>IFERROR(IF(Loan_Not_Paid*Values_Entered,Interest,""), "")</f>
        <v>1079104.7520974213</v>
      </c>
      <c r="H44" s="394">
        <f>IFERROR(IF(Loan_Not_Paid*Values_Entered,Ending_Balance,""), "")</f>
        <v>199006733.45110345</v>
      </c>
    </row>
    <row r="45" spans="2:8">
      <c r="B45" s="396">
        <f>IFERROR(IF(Loan_Not_Paid*Values_Entered,Payment_Number,""), "")</f>
        <v>28</v>
      </c>
      <c r="C45" s="395"/>
      <c r="D45" s="394">
        <f>IFERROR(IF(Loan_Not_Paid*Values_Entered,Beginning_Balance,""), "")</f>
        <v>199006733.45110345</v>
      </c>
      <c r="E45" s="394">
        <f>IFERROR(IF(Loan_Not_Paid*Values_Entered,Monthly_Payment,""), "")</f>
        <v>1291710.1497487591</v>
      </c>
      <c r="F45" s="394">
        <f>IFERROR(IF(Loan_Not_Paid*Values_Entered,Principal,""), "")</f>
        <v>213757.01022194911</v>
      </c>
      <c r="G45" s="394">
        <f>IFERROR(IF(Loan_Not_Paid*Values_Entered,Interest,""), "")</f>
        <v>1077953.13952681</v>
      </c>
      <c r="H45" s="394">
        <f>IFERROR(IF(Loan_Not_Paid*Values_Entered,Ending_Balance,""), "")</f>
        <v>198792976.44088149</v>
      </c>
    </row>
    <row r="46" spans="2:8">
      <c r="B46" s="396">
        <f>IFERROR(IF(Loan_Not_Paid*Values_Entered,Payment_Number,""), "")</f>
        <v>29</v>
      </c>
      <c r="C46" s="395"/>
      <c r="D46" s="394">
        <f>IFERROR(IF(Loan_Not_Paid*Values_Entered,Beginning_Balance,""), "")</f>
        <v>198792976.44088149</v>
      </c>
      <c r="E46" s="394">
        <f>IFERROR(IF(Loan_Not_Paid*Values_Entered,Monthly_Payment,""), "")</f>
        <v>1291710.1497487591</v>
      </c>
      <c r="F46" s="394">
        <f>IFERROR(IF(Loan_Not_Paid*Values_Entered,Principal,""), "")</f>
        <v>214914.86069398464</v>
      </c>
      <c r="G46" s="394">
        <f>IFERROR(IF(Loan_Not_Paid*Values_Entered,Interest,""), "")</f>
        <v>1076795.2890547744</v>
      </c>
      <c r="H46" s="394">
        <f>IFERROR(IF(Loan_Not_Paid*Values_Entered,Ending_Balance,""), "")</f>
        <v>198578061.58018753</v>
      </c>
    </row>
    <row r="47" spans="2:8">
      <c r="B47" s="396">
        <f>IFERROR(IF(Loan_Not_Paid*Values_Entered,Payment_Number,""), "")</f>
        <v>30</v>
      </c>
      <c r="C47" s="395"/>
      <c r="D47" s="394">
        <f>IFERROR(IF(Loan_Not_Paid*Values_Entered,Beginning_Balance,""), "")</f>
        <v>198578061.58018753</v>
      </c>
      <c r="E47" s="394">
        <f>IFERROR(IF(Loan_Not_Paid*Values_Entered,Monthly_Payment,""), "")</f>
        <v>1291710.1497487591</v>
      </c>
      <c r="F47" s="394">
        <f>IFERROR(IF(Loan_Not_Paid*Values_Entered,Principal,""), "")</f>
        <v>216078.98285607711</v>
      </c>
      <c r="G47" s="394">
        <f>IFERROR(IF(Loan_Not_Paid*Values_Entered,Interest,""), "")</f>
        <v>1075631.166892682</v>
      </c>
      <c r="H47" s="394">
        <f>IFERROR(IF(Loan_Not_Paid*Values_Entered,Ending_Balance,""), "")</f>
        <v>198361982.59733143</v>
      </c>
    </row>
    <row r="48" spans="2:8">
      <c r="B48" s="396">
        <f>IFERROR(IF(Loan_Not_Paid*Values_Entered,Payment_Number,""), "")</f>
        <v>31</v>
      </c>
      <c r="C48" s="395"/>
      <c r="D48" s="394">
        <f>IFERROR(IF(Loan_Not_Paid*Values_Entered,Beginning_Balance,""), "")</f>
        <v>198361982.59733143</v>
      </c>
      <c r="E48" s="394">
        <f>IFERROR(IF(Loan_Not_Paid*Values_Entered,Monthly_Payment,""), "")</f>
        <v>1291710.1497487591</v>
      </c>
      <c r="F48" s="394">
        <f>IFERROR(IF(Loan_Not_Paid*Values_Entered,Principal,""), "")</f>
        <v>217249.41067988082</v>
      </c>
      <c r="G48" s="394">
        <f>IFERROR(IF(Loan_Not_Paid*Values_Entered,Interest,""), "")</f>
        <v>1074460.7390688783</v>
      </c>
      <c r="H48" s="394">
        <f>IFERROR(IF(Loan_Not_Paid*Values_Entered,Ending_Balance,""), "")</f>
        <v>198144733.18665153</v>
      </c>
    </row>
    <row r="49" spans="2:8">
      <c r="B49" s="396">
        <f>IFERROR(IF(Loan_Not_Paid*Values_Entered,Payment_Number,""), "")</f>
        <v>32</v>
      </c>
      <c r="C49" s="395"/>
      <c r="D49" s="394">
        <f>IFERROR(IF(Loan_Not_Paid*Values_Entered,Beginning_Balance,""), "")</f>
        <v>198144733.18665153</v>
      </c>
      <c r="E49" s="394">
        <f>IFERROR(IF(Loan_Not_Paid*Values_Entered,Monthly_Payment,""), "")</f>
        <v>1291710.1497487591</v>
      </c>
      <c r="F49" s="394">
        <f>IFERROR(IF(Loan_Not_Paid*Values_Entered,Principal,""), "")</f>
        <v>218426.17832106352</v>
      </c>
      <c r="G49" s="394">
        <f>IFERROR(IF(Loan_Not_Paid*Values_Entered,Interest,""), "")</f>
        <v>1073283.9714276956</v>
      </c>
      <c r="H49" s="394">
        <f>IFERROR(IF(Loan_Not_Paid*Values_Entered,Ending_Balance,""), "")</f>
        <v>197926307.00833052</v>
      </c>
    </row>
    <row r="50" spans="2:8">
      <c r="B50" s="396">
        <f>IFERROR(IF(Loan_Not_Paid*Values_Entered,Payment_Number,""), "")</f>
        <v>33</v>
      </c>
      <c r="C50" s="395"/>
      <c r="D50" s="394">
        <f>IFERROR(IF(Loan_Not_Paid*Values_Entered,Beginning_Balance,""), "")</f>
        <v>197926307.00833052</v>
      </c>
      <c r="E50" s="394">
        <f>IFERROR(IF(Loan_Not_Paid*Values_Entered,Monthly_Payment,""), "")</f>
        <v>1291710.1497487591</v>
      </c>
      <c r="F50" s="394">
        <f>IFERROR(IF(Loan_Not_Paid*Values_Entered,Principal,""), "")</f>
        <v>219609.32012030264</v>
      </c>
      <c r="G50" s="394">
        <f>IFERROR(IF(Loan_Not_Paid*Values_Entered,Interest,""), "")</f>
        <v>1072100.8296284566</v>
      </c>
      <c r="H50" s="394">
        <f>IFERROR(IF(Loan_Not_Paid*Values_Entered,Ending_Balance,""), "")</f>
        <v>197706697.68821019</v>
      </c>
    </row>
    <row r="51" spans="2:8">
      <c r="B51" s="396">
        <f>IFERROR(IF(Loan_Not_Paid*Values_Entered,Payment_Number,""), "")</f>
        <v>34</v>
      </c>
      <c r="C51" s="395"/>
      <c r="D51" s="394">
        <f>IFERROR(IF(Loan_Not_Paid*Values_Entered,Beginning_Balance,""), "")</f>
        <v>197706697.68821019</v>
      </c>
      <c r="E51" s="394">
        <f>IFERROR(IF(Loan_Not_Paid*Values_Entered,Monthly_Payment,""), "")</f>
        <v>1291710.1497487591</v>
      </c>
      <c r="F51" s="394">
        <f>IFERROR(IF(Loan_Not_Paid*Values_Entered,Principal,""), "")</f>
        <v>220798.87060428757</v>
      </c>
      <c r="G51" s="394">
        <f>IFERROR(IF(Loan_Not_Paid*Values_Entered,Interest,""), "")</f>
        <v>1070911.2791444715</v>
      </c>
      <c r="H51" s="394">
        <f>IFERROR(IF(Loan_Not_Paid*Values_Entered,Ending_Balance,""), "")</f>
        <v>197485898.81760591</v>
      </c>
    </row>
    <row r="52" spans="2:8">
      <c r="B52" s="396">
        <f>IFERROR(IF(Loan_Not_Paid*Values_Entered,Payment_Number,""), "")</f>
        <v>35</v>
      </c>
      <c r="C52" s="395"/>
      <c r="D52" s="394">
        <f>IFERROR(IF(Loan_Not_Paid*Values_Entered,Beginning_Balance,""), "")</f>
        <v>197485898.81760591</v>
      </c>
      <c r="E52" s="394">
        <f>IFERROR(IF(Loan_Not_Paid*Values_Entered,Monthly_Payment,""), "")</f>
        <v>1291710.1497487591</v>
      </c>
      <c r="F52" s="394">
        <f>IFERROR(IF(Loan_Not_Paid*Values_Entered,Principal,""), "")</f>
        <v>221994.86448672746</v>
      </c>
      <c r="G52" s="394">
        <f>IFERROR(IF(Loan_Not_Paid*Values_Entered,Interest,""), "")</f>
        <v>1069715.2852620315</v>
      </c>
      <c r="H52" s="394">
        <f>IFERROR(IF(Loan_Not_Paid*Values_Entered,Ending_Balance,""), "")</f>
        <v>197263903.95311919</v>
      </c>
    </row>
    <row r="53" spans="2:8">
      <c r="B53" s="396">
        <f>IFERROR(IF(Loan_Not_Paid*Values_Entered,Payment_Number,""), "")</f>
        <v>36</v>
      </c>
      <c r="C53" s="395"/>
      <c r="D53" s="394">
        <f>IFERROR(IF(Loan_Not_Paid*Values_Entered,Beginning_Balance,""), "")</f>
        <v>197263903.95311919</v>
      </c>
      <c r="E53" s="394">
        <f>IFERROR(IF(Loan_Not_Paid*Values_Entered,Monthly_Payment,""), "")</f>
        <v>1291710.1497487591</v>
      </c>
      <c r="F53" s="394">
        <f>IFERROR(IF(Loan_Not_Paid*Values_Entered,Principal,""), "")</f>
        <v>223197.3366693639</v>
      </c>
      <c r="G53" s="394">
        <f>IFERROR(IF(Loan_Not_Paid*Values_Entered,Interest,""), "")</f>
        <v>1068512.8130793951</v>
      </c>
      <c r="H53" s="394">
        <f>IFERROR(IF(Loan_Not_Paid*Values_Entered,Ending_Balance,""), "")</f>
        <v>197040706.6164498</v>
      </c>
    </row>
    <row r="54" spans="2:8">
      <c r="B54" s="396">
        <f>IFERROR(IF(Loan_Not_Paid*Values_Entered,Payment_Number,""), "")</f>
        <v>37</v>
      </c>
      <c r="C54" s="395"/>
      <c r="D54" s="394">
        <f>IFERROR(IF(Loan_Not_Paid*Values_Entered,Beginning_Balance,""), "")</f>
        <v>197040706.6164498</v>
      </c>
      <c r="E54" s="394">
        <f>IFERROR(IF(Loan_Not_Paid*Values_Entered,Monthly_Payment,""), "")</f>
        <v>1291710.1497487591</v>
      </c>
      <c r="F54" s="394">
        <f>IFERROR(IF(Loan_Not_Paid*Values_Entered,Principal,""), "")</f>
        <v>224406.32224298961</v>
      </c>
      <c r="G54" s="394">
        <f>IFERROR(IF(Loan_Not_Paid*Values_Entered,Interest,""), "")</f>
        <v>1067303.8275057694</v>
      </c>
      <c r="H54" s="394">
        <f>IFERROR(IF(Loan_Not_Paid*Values_Entered,Ending_Balance,""), "")</f>
        <v>196816300.29420686</v>
      </c>
    </row>
    <row r="55" spans="2:8">
      <c r="B55" s="396">
        <f>IFERROR(IF(Loan_Not_Paid*Values_Entered,Payment_Number,""), "")</f>
        <v>38</v>
      </c>
      <c r="C55" s="395"/>
      <c r="D55" s="394">
        <f>IFERROR(IF(Loan_Not_Paid*Values_Entered,Beginning_Balance,""), "")</f>
        <v>196816300.29420686</v>
      </c>
      <c r="E55" s="394">
        <f>IFERROR(IF(Loan_Not_Paid*Values_Entered,Monthly_Payment,""), "")</f>
        <v>1291710.1497487591</v>
      </c>
      <c r="F55" s="394">
        <f>IFERROR(IF(Loan_Not_Paid*Values_Entered,Principal,""), "")</f>
        <v>225621.85648847249</v>
      </c>
      <c r="G55" s="394">
        <f>IFERROR(IF(Loan_Not_Paid*Values_Entered,Interest,""), "")</f>
        <v>1066088.2932602868</v>
      </c>
      <c r="H55" s="394">
        <f>IFERROR(IF(Loan_Not_Paid*Values_Entered,Ending_Balance,""), "")</f>
        <v>196590678.43771839</v>
      </c>
    </row>
    <row r="56" spans="2:8">
      <c r="B56" s="396">
        <f>IFERROR(IF(Loan_Not_Paid*Values_Entered,Payment_Number,""), "")</f>
        <v>39</v>
      </c>
      <c r="C56" s="395"/>
      <c r="D56" s="394">
        <f>IFERROR(IF(Loan_Not_Paid*Values_Entered,Beginning_Balance,""), "")</f>
        <v>196590678.43771839</v>
      </c>
      <c r="E56" s="394">
        <f>IFERROR(IF(Loan_Not_Paid*Values_Entered,Monthly_Payment,""), "")</f>
        <v>1291710.1497487591</v>
      </c>
      <c r="F56" s="394">
        <f>IFERROR(IF(Loan_Not_Paid*Values_Entered,Principal,""), "")</f>
        <v>226843.97487778505</v>
      </c>
      <c r="G56" s="394">
        <f>IFERROR(IF(Loan_Not_Paid*Values_Entered,Interest,""), "")</f>
        <v>1064866.1748709739</v>
      </c>
      <c r="H56" s="394">
        <f>IFERROR(IF(Loan_Not_Paid*Values_Entered,Ending_Balance,""), "")</f>
        <v>196363834.46284059</v>
      </c>
    </row>
    <row r="57" spans="2:8">
      <c r="B57" s="396">
        <f>IFERROR(IF(Loan_Not_Paid*Values_Entered,Payment_Number,""), "")</f>
        <v>40</v>
      </c>
      <c r="C57" s="395"/>
      <c r="D57" s="394">
        <f>IFERROR(IF(Loan_Not_Paid*Values_Entered,Beginning_Balance,""), "")</f>
        <v>196363834.46284059</v>
      </c>
      <c r="E57" s="394">
        <f>IFERROR(IF(Loan_Not_Paid*Values_Entered,Monthly_Payment,""), "")</f>
        <v>1291710.1497487591</v>
      </c>
      <c r="F57" s="394">
        <f>IFERROR(IF(Loan_Not_Paid*Values_Entered,Principal,""), "")</f>
        <v>228072.7130750397</v>
      </c>
      <c r="G57" s="394">
        <f>IFERROR(IF(Loan_Not_Paid*Values_Entered,Interest,""), "")</f>
        <v>1063637.4366737197</v>
      </c>
      <c r="H57" s="394">
        <f>IFERROR(IF(Loan_Not_Paid*Values_Entered,Ending_Balance,""), "")</f>
        <v>196135761.74976555</v>
      </c>
    </row>
    <row r="58" spans="2:8">
      <c r="B58" s="396">
        <f>IFERROR(IF(Loan_Not_Paid*Values_Entered,Payment_Number,""), "")</f>
        <v>41</v>
      </c>
      <c r="C58" s="395"/>
      <c r="D58" s="394">
        <f>IFERROR(IF(Loan_Not_Paid*Values_Entered,Beginning_Balance,""), "")</f>
        <v>196135761.74976555</v>
      </c>
      <c r="E58" s="394">
        <f>IFERROR(IF(Loan_Not_Paid*Values_Entered,Monthly_Payment,""), "")</f>
        <v>1291710.1497487591</v>
      </c>
      <c r="F58" s="394">
        <f>IFERROR(IF(Loan_Not_Paid*Values_Entered,Principal,""), "")</f>
        <v>229308.10693752952</v>
      </c>
      <c r="G58" s="394">
        <f>IFERROR(IF(Loan_Not_Paid*Values_Entered,Interest,""), "")</f>
        <v>1062402.0428112296</v>
      </c>
      <c r="H58" s="394">
        <f>IFERROR(IF(Loan_Not_Paid*Values_Entered,Ending_Balance,""), "")</f>
        <v>195906453.64282802</v>
      </c>
    </row>
    <row r="59" spans="2:8">
      <c r="B59" s="396">
        <f>IFERROR(IF(Loan_Not_Paid*Values_Entered,Payment_Number,""), "")</f>
        <v>42</v>
      </c>
      <c r="C59" s="395"/>
      <c r="D59" s="394">
        <f>IFERROR(IF(Loan_Not_Paid*Values_Entered,Beginning_Balance,""), "")</f>
        <v>195906453.64282802</v>
      </c>
      <c r="E59" s="394">
        <f>IFERROR(IF(Loan_Not_Paid*Values_Entered,Monthly_Payment,""), "")</f>
        <v>1291710.1497487591</v>
      </c>
      <c r="F59" s="394">
        <f>IFERROR(IF(Loan_Not_Paid*Values_Entered,Principal,""), "")</f>
        <v>230550.19251677446</v>
      </c>
      <c r="G59" s="394">
        <f>IFERROR(IF(Loan_Not_Paid*Values_Entered,Interest,""), "")</f>
        <v>1061159.9572319847</v>
      </c>
      <c r="H59" s="394">
        <f>IFERROR(IF(Loan_Not_Paid*Values_Entered,Ending_Balance,""), "")</f>
        <v>195675903.45031124</v>
      </c>
    </row>
    <row r="60" spans="2:8">
      <c r="B60" s="396">
        <f>IFERROR(IF(Loan_Not_Paid*Values_Entered,Payment_Number,""), "")</f>
        <v>43</v>
      </c>
      <c r="C60" s="395"/>
      <c r="D60" s="394">
        <f>IFERROR(IF(Loan_Not_Paid*Values_Entered,Beginning_Balance,""), "")</f>
        <v>195675903.45031124</v>
      </c>
      <c r="E60" s="394">
        <f>IFERROR(IF(Loan_Not_Paid*Values_Entered,Monthly_Payment,""), "")</f>
        <v>1291710.1497487591</v>
      </c>
      <c r="F60" s="394">
        <f>IFERROR(IF(Loan_Not_Paid*Values_Entered,Principal,""), "")</f>
        <v>231799.0060595737</v>
      </c>
      <c r="G60" s="394">
        <f>IFERROR(IF(Loan_Not_Paid*Values_Entered,Interest,""), "")</f>
        <v>1059911.1436891854</v>
      </c>
      <c r="H60" s="394">
        <f>IFERROR(IF(Loan_Not_Paid*Values_Entered,Ending_Balance,""), "")</f>
        <v>195444104.44425169</v>
      </c>
    </row>
    <row r="61" spans="2:8">
      <c r="B61" s="396">
        <f>IFERROR(IF(Loan_Not_Paid*Values_Entered,Payment_Number,""), "")</f>
        <v>44</v>
      </c>
      <c r="C61" s="395"/>
      <c r="D61" s="394">
        <f>IFERROR(IF(Loan_Not_Paid*Values_Entered,Beginning_Balance,""), "")</f>
        <v>195444104.44425169</v>
      </c>
      <c r="E61" s="394">
        <f>IFERROR(IF(Loan_Not_Paid*Values_Entered,Monthly_Payment,""), "")</f>
        <v>1291710.1497487591</v>
      </c>
      <c r="F61" s="394">
        <f>IFERROR(IF(Loan_Not_Paid*Values_Entered,Principal,""), "")</f>
        <v>233054.58400906305</v>
      </c>
      <c r="G61" s="394">
        <f>IFERROR(IF(Loan_Not_Paid*Values_Entered,Interest,""), "")</f>
        <v>1058655.5657396959</v>
      </c>
      <c r="H61" s="394">
        <f>IFERROR(IF(Loan_Not_Paid*Values_Entered,Ending_Balance,""), "")</f>
        <v>195211049.86024264</v>
      </c>
    </row>
    <row r="62" spans="2:8">
      <c r="B62" s="396">
        <f>IFERROR(IF(Loan_Not_Paid*Values_Entered,Payment_Number,""), "")</f>
        <v>45</v>
      </c>
      <c r="C62" s="395"/>
      <c r="D62" s="394">
        <f>IFERROR(IF(Loan_Not_Paid*Values_Entered,Beginning_Balance,""), "")</f>
        <v>195211049.86024264</v>
      </c>
      <c r="E62" s="394">
        <f>IFERROR(IF(Loan_Not_Paid*Values_Entered,Monthly_Payment,""), "")</f>
        <v>1291710.1497487591</v>
      </c>
      <c r="F62" s="394">
        <f>IFERROR(IF(Loan_Not_Paid*Values_Entered,Principal,""), "")</f>
        <v>234316.96300577873</v>
      </c>
      <c r="G62" s="394">
        <f>IFERROR(IF(Loan_Not_Paid*Values_Entered,Interest,""), "")</f>
        <v>1057393.1867429803</v>
      </c>
      <c r="H62" s="394">
        <f>IFERROR(IF(Loan_Not_Paid*Values_Entered,Ending_Balance,""), "")</f>
        <v>194976732.89723685</v>
      </c>
    </row>
    <row r="63" spans="2:8">
      <c r="B63" s="396">
        <f>IFERROR(IF(Loan_Not_Paid*Values_Entered,Payment_Number,""), "")</f>
        <v>46</v>
      </c>
      <c r="C63" s="395"/>
      <c r="D63" s="394">
        <f>IFERROR(IF(Loan_Not_Paid*Values_Entered,Beginning_Balance,""), "")</f>
        <v>194976732.89723685</v>
      </c>
      <c r="E63" s="394">
        <f>IFERROR(IF(Loan_Not_Paid*Values_Entered,Monthly_Payment,""), "")</f>
        <v>1291710.1497487591</v>
      </c>
      <c r="F63" s="394">
        <f>IFERROR(IF(Loan_Not_Paid*Values_Entered,Principal,""), "")</f>
        <v>235586.17988872671</v>
      </c>
      <c r="G63" s="394">
        <f>IFERROR(IF(Loan_Not_Paid*Values_Entered,Interest,""), "")</f>
        <v>1056123.9698600324</v>
      </c>
      <c r="H63" s="394">
        <f>IFERROR(IF(Loan_Not_Paid*Values_Entered,Ending_Balance,""), "")</f>
        <v>194741146.71734816</v>
      </c>
    </row>
    <row r="64" spans="2:8">
      <c r="B64" s="396">
        <f>IFERROR(IF(Loan_Not_Paid*Values_Entered,Payment_Number,""), "")</f>
        <v>47</v>
      </c>
      <c r="C64" s="395"/>
      <c r="D64" s="394">
        <f>IFERROR(IF(Loan_Not_Paid*Values_Entered,Beginning_Balance,""), "")</f>
        <v>194741146.71734816</v>
      </c>
      <c r="E64" s="394">
        <f>IFERROR(IF(Loan_Not_Paid*Values_Entered,Monthly_Payment,""), "")</f>
        <v>1291710.1497487591</v>
      </c>
      <c r="F64" s="394">
        <f>IFERROR(IF(Loan_Not_Paid*Values_Entered,Principal,""), "")</f>
        <v>236862.27169645735</v>
      </c>
      <c r="G64" s="394">
        <f>IFERROR(IF(Loan_Not_Paid*Values_Entered,Interest,""), "")</f>
        <v>1054847.8780523017</v>
      </c>
      <c r="H64" s="394">
        <f>IFERROR(IF(Loan_Not_Paid*Values_Entered,Ending_Balance,""), "")</f>
        <v>194504284.44565168</v>
      </c>
    </row>
    <row r="65" spans="2:8">
      <c r="B65" s="396">
        <f>IFERROR(IF(Loan_Not_Paid*Values_Entered,Payment_Number,""), "")</f>
        <v>48</v>
      </c>
      <c r="C65" s="395"/>
      <c r="D65" s="394">
        <f>IFERROR(IF(Loan_Not_Paid*Values_Entered,Beginning_Balance,""), "")</f>
        <v>194504284.44565168</v>
      </c>
      <c r="E65" s="394">
        <f>IFERROR(IF(Loan_Not_Paid*Values_Entered,Monthly_Payment,""), "")</f>
        <v>1291710.1497487591</v>
      </c>
      <c r="F65" s="394">
        <f>IFERROR(IF(Loan_Not_Paid*Values_Entered,Principal,""), "")</f>
        <v>238145.2756681465</v>
      </c>
      <c r="G65" s="394">
        <f>IFERROR(IF(Loan_Not_Paid*Values_Entered,Interest,""), "")</f>
        <v>1053564.8740806126</v>
      </c>
      <c r="H65" s="394">
        <f>IFERROR(IF(Loan_Not_Paid*Values_Entered,Ending_Balance,""), "")</f>
        <v>194266139.16998351</v>
      </c>
    </row>
    <row r="66" spans="2:8">
      <c r="B66" s="396">
        <f>IFERROR(IF(Loan_Not_Paid*Values_Entered,Payment_Number,""), "")</f>
        <v>49</v>
      </c>
      <c r="C66" s="395"/>
      <c r="D66" s="394">
        <f>IFERROR(IF(Loan_Not_Paid*Values_Entered,Beginning_Balance,""), "")</f>
        <v>194266139.16998351</v>
      </c>
      <c r="E66" s="394">
        <f>IFERROR(IF(Loan_Not_Paid*Values_Entered,Monthly_Payment,""), "")</f>
        <v>1291710.1497487591</v>
      </c>
      <c r="F66" s="394">
        <f>IFERROR(IF(Loan_Not_Paid*Values_Entered,Principal,""), "")</f>
        <v>239435.2292446823</v>
      </c>
      <c r="G66" s="394">
        <f>IFERROR(IF(Loan_Not_Paid*Values_Entered,Interest,""), "")</f>
        <v>1052274.9205040769</v>
      </c>
      <c r="H66" s="394">
        <f>IFERROR(IF(Loan_Not_Paid*Values_Entered,Ending_Balance,""), "")</f>
        <v>194026703.94073886</v>
      </c>
    </row>
    <row r="67" spans="2:8">
      <c r="B67" s="396">
        <f>IFERROR(IF(Loan_Not_Paid*Values_Entered,Payment_Number,""), "")</f>
        <v>50</v>
      </c>
      <c r="C67" s="395"/>
      <c r="D67" s="394">
        <f>IFERROR(IF(Loan_Not_Paid*Values_Entered,Beginning_Balance,""), "")</f>
        <v>194026703.94073886</v>
      </c>
      <c r="E67" s="394">
        <f>IFERROR(IF(Loan_Not_Paid*Values_Entered,Monthly_Payment,""), "")</f>
        <v>1291710.1497487591</v>
      </c>
      <c r="F67" s="394">
        <f>IFERROR(IF(Loan_Not_Paid*Values_Entered,Principal,""), "")</f>
        <v>240732.17006975762</v>
      </c>
      <c r="G67" s="394">
        <f>IFERROR(IF(Loan_Not_Paid*Values_Entered,Interest,""), "")</f>
        <v>1050977.9796790013</v>
      </c>
      <c r="H67" s="394">
        <f>IFERROR(IF(Loan_Not_Paid*Values_Entered,Ending_Balance,""), "")</f>
        <v>193785971.7706691</v>
      </c>
    </row>
    <row r="68" spans="2:8">
      <c r="B68" s="396">
        <f>IFERROR(IF(Loan_Not_Paid*Values_Entered,Payment_Number,""), "")</f>
        <v>51</v>
      </c>
      <c r="C68" s="395"/>
      <c r="D68" s="394">
        <f>IFERROR(IF(Loan_Not_Paid*Values_Entered,Beginning_Balance,""), "")</f>
        <v>193785971.7706691</v>
      </c>
      <c r="E68" s="394">
        <f>IFERROR(IF(Loan_Not_Paid*Values_Entered,Monthly_Payment,""), "")</f>
        <v>1291710.1497487591</v>
      </c>
      <c r="F68" s="394">
        <f>IFERROR(IF(Loan_Not_Paid*Values_Entered,Principal,""), "")</f>
        <v>242036.13599096882</v>
      </c>
      <c r="G68" s="394">
        <f>IFERROR(IF(Loan_Not_Paid*Values_Entered,Interest,""), "")</f>
        <v>1049674.0137577904</v>
      </c>
      <c r="H68" s="394">
        <f>IFERROR(IF(Loan_Not_Paid*Values_Entered,Ending_Balance,""), "")</f>
        <v>193543935.63467813</v>
      </c>
    </row>
    <row r="69" spans="2:8">
      <c r="B69" s="396">
        <f>IFERROR(IF(Loan_Not_Paid*Values_Entered,Payment_Number,""), "")</f>
        <v>52</v>
      </c>
      <c r="C69" s="395"/>
      <c r="D69" s="394">
        <f>IFERROR(IF(Loan_Not_Paid*Values_Entered,Beginning_Balance,""), "")</f>
        <v>193543935.63467813</v>
      </c>
      <c r="E69" s="394">
        <f>IFERROR(IF(Loan_Not_Paid*Values_Entered,Monthly_Payment,""), "")</f>
        <v>1291710.1497487591</v>
      </c>
      <c r="F69" s="394">
        <f>IFERROR(IF(Loan_Not_Paid*Values_Entered,Principal,""), "")</f>
        <v>243347.16506091994</v>
      </c>
      <c r="G69" s="394">
        <f>IFERROR(IF(Loan_Not_Paid*Values_Entered,Interest,""), "")</f>
        <v>1048362.9846878391</v>
      </c>
      <c r="H69" s="394">
        <f>IFERROR(IF(Loan_Not_Paid*Values_Entered,Ending_Balance,""), "")</f>
        <v>193300588.46961719</v>
      </c>
    </row>
    <row r="70" spans="2:8">
      <c r="B70" s="396">
        <f>IFERROR(IF(Loan_Not_Paid*Values_Entered,Payment_Number,""), "")</f>
        <v>53</v>
      </c>
      <c r="C70" s="395"/>
      <c r="D70" s="394">
        <f>IFERROR(IF(Loan_Not_Paid*Values_Entered,Beginning_Balance,""), "")</f>
        <v>193300588.46961719</v>
      </c>
      <c r="E70" s="394">
        <f>IFERROR(IF(Loan_Not_Paid*Values_Entered,Monthly_Payment,""), "")</f>
        <v>1291710.1497487591</v>
      </c>
      <c r="F70" s="394">
        <f>IFERROR(IF(Loan_Not_Paid*Values_Entered,Principal,""), "")</f>
        <v>244665.29553833327</v>
      </c>
      <c r="G70" s="394">
        <f>IFERROR(IF(Loan_Not_Paid*Values_Entered,Interest,""), "")</f>
        <v>1047044.8542104259</v>
      </c>
      <c r="H70" s="394">
        <f>IFERROR(IF(Loan_Not_Paid*Values_Entered,Ending_Balance,""), "")</f>
        <v>193055923.17407888</v>
      </c>
    </row>
    <row r="71" spans="2:8">
      <c r="B71" s="396">
        <f>IFERROR(IF(Loan_Not_Paid*Values_Entered,Payment_Number,""), "")</f>
        <v>54</v>
      </c>
      <c r="C71" s="395"/>
      <c r="D71" s="394">
        <f>IFERROR(IF(Loan_Not_Paid*Values_Entered,Beginning_Balance,""), "")</f>
        <v>193055923.17407888</v>
      </c>
      <c r="E71" s="394">
        <f>IFERROR(IF(Loan_Not_Paid*Values_Entered,Monthly_Payment,""), "")</f>
        <v>1291710.1497487591</v>
      </c>
      <c r="F71" s="394">
        <f>IFERROR(IF(Loan_Not_Paid*Values_Entered,Principal,""), "")</f>
        <v>245990.56588916588</v>
      </c>
      <c r="G71" s="394">
        <f>IFERROR(IF(Loan_Not_Paid*Values_Entered,Interest,""), "")</f>
        <v>1045719.5838595934</v>
      </c>
      <c r="H71" s="394">
        <f>IFERROR(IF(Loan_Not_Paid*Values_Entered,Ending_Balance,""), "")</f>
        <v>192809932.6081897</v>
      </c>
    </row>
    <row r="72" spans="2:8">
      <c r="B72" s="396">
        <f>IFERROR(IF(Loan_Not_Paid*Values_Entered,Payment_Number,""), "")</f>
        <v>55</v>
      </c>
      <c r="C72" s="395"/>
      <c r="D72" s="394">
        <f>IFERROR(IF(Loan_Not_Paid*Values_Entered,Beginning_Balance,""), "")</f>
        <v>192809932.6081897</v>
      </c>
      <c r="E72" s="394">
        <f>IFERROR(IF(Loan_Not_Paid*Values_Entered,Monthly_Payment,""), "")</f>
        <v>1291710.1497487591</v>
      </c>
      <c r="F72" s="394">
        <f>IFERROR(IF(Loan_Not_Paid*Values_Entered,Principal,""), "")</f>
        <v>247323.01478773216</v>
      </c>
      <c r="G72" s="394">
        <f>IFERROR(IF(Loan_Not_Paid*Values_Entered,Interest,""), "")</f>
        <v>1044387.134961027</v>
      </c>
      <c r="H72" s="394">
        <f>IFERROR(IF(Loan_Not_Paid*Values_Entered,Ending_Balance,""), "")</f>
        <v>192562609.59340203</v>
      </c>
    </row>
    <row r="73" spans="2:8">
      <c r="B73" s="396">
        <f>IFERROR(IF(Loan_Not_Paid*Values_Entered,Payment_Number,""), "")</f>
        <v>56</v>
      </c>
      <c r="C73" s="395"/>
      <c r="D73" s="394">
        <f>IFERROR(IF(Loan_Not_Paid*Values_Entered,Beginning_Balance,""), "")</f>
        <v>192562609.59340203</v>
      </c>
      <c r="E73" s="394">
        <f>IFERROR(IF(Loan_Not_Paid*Values_Entered,Monthly_Payment,""), "")</f>
        <v>1291710.1497487591</v>
      </c>
      <c r="F73" s="394">
        <f>IFERROR(IF(Loan_Not_Paid*Values_Entered,Principal,""), "")</f>
        <v>248662.68111783243</v>
      </c>
      <c r="G73" s="394">
        <f>IFERROR(IF(Loan_Not_Paid*Values_Entered,Interest,""), "")</f>
        <v>1043047.4686309267</v>
      </c>
      <c r="H73" s="394">
        <f>IFERROR(IF(Loan_Not_Paid*Values_Entered,Ending_Balance,""), "")</f>
        <v>192313946.91228414</v>
      </c>
    </row>
    <row r="74" spans="2:8">
      <c r="B74" s="396">
        <f>IFERROR(IF(Loan_Not_Paid*Values_Entered,Payment_Number,""), "")</f>
        <v>57</v>
      </c>
      <c r="C74" s="395"/>
      <c r="D74" s="394">
        <f>IFERROR(IF(Loan_Not_Paid*Values_Entered,Beginning_Balance,""), "")</f>
        <v>192313946.91228414</v>
      </c>
      <c r="E74" s="394">
        <f>IFERROR(IF(Loan_Not_Paid*Values_Entered,Monthly_Payment,""), "")</f>
        <v>1291710.1497487591</v>
      </c>
      <c r="F74" s="394">
        <f>IFERROR(IF(Loan_Not_Paid*Values_Entered,Principal,""), "")</f>
        <v>250009.60397388731</v>
      </c>
      <c r="G74" s="394">
        <f>IFERROR(IF(Loan_Not_Paid*Values_Entered,Interest,""), "")</f>
        <v>1041700.5457748718</v>
      </c>
      <c r="H74" s="394">
        <f>IFERROR(IF(Loan_Not_Paid*Values_Entered,Ending_Balance,""), "")</f>
        <v>192063937.30831027</v>
      </c>
    </row>
    <row r="75" spans="2:8">
      <c r="B75" s="396">
        <f>IFERROR(IF(Loan_Not_Paid*Values_Entered,Payment_Number,""), "")</f>
        <v>58</v>
      </c>
      <c r="C75" s="395"/>
      <c r="D75" s="394">
        <f>IFERROR(IF(Loan_Not_Paid*Values_Entered,Beginning_Balance,""), "")</f>
        <v>192063937.30831027</v>
      </c>
      <c r="E75" s="394">
        <f>IFERROR(IF(Loan_Not_Paid*Values_Entered,Monthly_Payment,""), "")</f>
        <v>1291710.1497487591</v>
      </c>
      <c r="F75" s="394">
        <f>IFERROR(IF(Loan_Not_Paid*Values_Entered,Principal,""), "")</f>
        <v>251363.82266207924</v>
      </c>
      <c r="G75" s="394">
        <f>IFERROR(IF(Loan_Not_Paid*Values_Entered,Interest,""), "")</f>
        <v>1040346.3270866799</v>
      </c>
      <c r="H75" s="394">
        <f>IFERROR(IF(Loan_Not_Paid*Values_Entered,Ending_Balance,""), "")</f>
        <v>191812573.48564819</v>
      </c>
    </row>
    <row r="76" spans="2:8">
      <c r="B76" s="396">
        <f>IFERROR(IF(Loan_Not_Paid*Values_Entered,Payment_Number,""), "")</f>
        <v>59</v>
      </c>
      <c r="C76" s="395"/>
      <c r="D76" s="394">
        <f>IFERROR(IF(Loan_Not_Paid*Values_Entered,Beginning_Balance,""), "")</f>
        <v>191812573.48564819</v>
      </c>
      <c r="E76" s="394">
        <f>IFERROR(IF(Loan_Not_Paid*Values_Entered,Monthly_Payment,""), "")</f>
        <v>1291710.1497487591</v>
      </c>
      <c r="F76" s="394">
        <f>IFERROR(IF(Loan_Not_Paid*Values_Entered,Principal,""), "")</f>
        <v>252725.37670149887</v>
      </c>
      <c r="G76" s="394">
        <f>IFERROR(IF(Loan_Not_Paid*Values_Entered,Interest,""), "")</f>
        <v>1038984.7730472602</v>
      </c>
      <c r="H76" s="394">
        <f>IFERROR(IF(Loan_Not_Paid*Values_Entered,Ending_Balance,""), "")</f>
        <v>191559848.10894668</v>
      </c>
    </row>
    <row r="77" spans="2:8">
      <c r="B77" s="396">
        <f>IFERROR(IF(Loan_Not_Paid*Values_Entered,Payment_Number,""), "")</f>
        <v>60</v>
      </c>
      <c r="C77" s="395"/>
      <c r="D77" s="394">
        <f>IFERROR(IF(Loan_Not_Paid*Values_Entered,Beginning_Balance,""), "")</f>
        <v>191559848.10894668</v>
      </c>
      <c r="E77" s="394">
        <f>IFERROR(IF(Loan_Not_Paid*Values_Entered,Monthly_Payment,""), "")</f>
        <v>1291710.1497487591</v>
      </c>
      <c r="F77" s="394">
        <f>IFERROR(IF(Loan_Not_Paid*Values_Entered,Principal,""), "")</f>
        <v>254094.30582529859</v>
      </c>
      <c r="G77" s="394">
        <f>IFERROR(IF(Loan_Not_Paid*Values_Entered,Interest,""), "")</f>
        <v>1037615.8439234606</v>
      </c>
      <c r="H77" s="394">
        <f>IFERROR(IF(Loan_Not_Paid*Values_Entered,Ending_Balance,""), "")</f>
        <v>191305753.80312139</v>
      </c>
    </row>
    <row r="78" spans="2:8">
      <c r="B78" s="396">
        <f>IFERROR(IF(Loan_Not_Paid*Values_Entered,Payment_Number,""), "")</f>
        <v>61</v>
      </c>
      <c r="C78" s="395"/>
      <c r="D78" s="394">
        <f>IFERROR(IF(Loan_Not_Paid*Values_Entered,Beginning_Balance,""), "")</f>
        <v>191305753.80312139</v>
      </c>
      <c r="E78" s="394">
        <f>IFERROR(IF(Loan_Not_Paid*Values_Entered,Monthly_Payment,""), "")</f>
        <v>1291710.1497487591</v>
      </c>
      <c r="F78" s="394">
        <f>IFERROR(IF(Loan_Not_Paid*Values_Entered,Principal,""), "")</f>
        <v>255470.64998185233</v>
      </c>
      <c r="G78" s="394">
        <f>IFERROR(IF(Loan_Not_Paid*Values_Entered,Interest,""), "")</f>
        <v>1036239.4997669067</v>
      </c>
      <c r="H78" s="394">
        <f>IFERROR(IF(Loan_Not_Paid*Values_Entered,Ending_Balance,""), "")</f>
        <v>191050283.15313959</v>
      </c>
    </row>
    <row r="79" spans="2:8">
      <c r="B79" s="396">
        <f>IFERROR(IF(Loan_Not_Paid*Values_Entered,Payment_Number,""), "")</f>
        <v>62</v>
      </c>
      <c r="C79" s="395"/>
      <c r="D79" s="394">
        <f>IFERROR(IF(Loan_Not_Paid*Values_Entered,Beginning_Balance,""), "")</f>
        <v>191050283.15313959</v>
      </c>
      <c r="E79" s="394">
        <f>IFERROR(IF(Loan_Not_Paid*Values_Entered,Monthly_Payment,""), "")</f>
        <v>1291710.1497487591</v>
      </c>
      <c r="F79" s="394">
        <f>IFERROR(IF(Loan_Not_Paid*Values_Entered,Principal,""), "")</f>
        <v>256854.44933592065</v>
      </c>
      <c r="G79" s="394">
        <f>IFERROR(IF(Loan_Not_Paid*Values_Entered,Interest,""), "")</f>
        <v>1034855.7004128384</v>
      </c>
      <c r="H79" s="394">
        <f>IFERROR(IF(Loan_Not_Paid*Values_Entered,Ending_Balance,""), "")</f>
        <v>190793428.70380366</v>
      </c>
    </row>
    <row r="80" spans="2:8">
      <c r="B80" s="396">
        <f>IFERROR(IF(Loan_Not_Paid*Values_Entered,Payment_Number,""), "")</f>
        <v>63</v>
      </c>
      <c r="C80" s="395"/>
      <c r="D80" s="394">
        <f>IFERROR(IF(Loan_Not_Paid*Values_Entered,Beginning_Balance,""), "")</f>
        <v>190793428.70380366</v>
      </c>
      <c r="E80" s="394">
        <f>IFERROR(IF(Loan_Not_Paid*Values_Entered,Monthly_Payment,""), "")</f>
        <v>1291710.1497487591</v>
      </c>
      <c r="F80" s="394">
        <f>IFERROR(IF(Loan_Not_Paid*Values_Entered,Principal,""), "")</f>
        <v>258245.7442698236</v>
      </c>
      <c r="G80" s="394">
        <f>IFERROR(IF(Loan_Not_Paid*Values_Entered,Interest,""), "")</f>
        <v>1033464.4054789353</v>
      </c>
      <c r="H80" s="394">
        <f>IFERROR(IF(Loan_Not_Paid*Values_Entered,Ending_Balance,""), "")</f>
        <v>190535182.95953381</v>
      </c>
    </row>
    <row r="81" spans="2:8">
      <c r="B81" s="396">
        <f>IFERROR(IF(Loan_Not_Paid*Values_Entered,Payment_Number,""), "")</f>
        <v>64</v>
      </c>
      <c r="C81" s="395"/>
      <c r="D81" s="394">
        <f>IFERROR(IF(Loan_Not_Paid*Values_Entered,Beginning_Balance,""), "")</f>
        <v>190535182.95953381</v>
      </c>
      <c r="E81" s="394">
        <f>IFERROR(IF(Loan_Not_Paid*Values_Entered,Monthly_Payment,""), "")</f>
        <v>1291710.1497487591</v>
      </c>
      <c r="F81" s="394">
        <f>IFERROR(IF(Loan_Not_Paid*Values_Entered,Principal,""), "")</f>
        <v>259644.57538461839</v>
      </c>
      <c r="G81" s="394">
        <f>IFERROR(IF(Loan_Not_Paid*Values_Entered,Interest,""), "")</f>
        <v>1032065.5743641407</v>
      </c>
      <c r="H81" s="394">
        <f>IFERROR(IF(Loan_Not_Paid*Values_Entered,Ending_Balance,""), "")</f>
        <v>190275538.38414925</v>
      </c>
    </row>
    <row r="82" spans="2:8">
      <c r="B82" s="396">
        <f>IFERROR(IF(Loan_Not_Paid*Values_Entered,Payment_Number,""), "")</f>
        <v>65</v>
      </c>
      <c r="C82" s="395"/>
      <c r="D82" s="394">
        <f>IFERROR(IF(Loan_Not_Paid*Values_Entered,Beginning_Balance,""), "")</f>
        <v>190275538.38414925</v>
      </c>
      <c r="E82" s="394">
        <f>IFERROR(IF(Loan_Not_Paid*Values_Entered,Monthly_Payment,""), "")</f>
        <v>1291710.1497487591</v>
      </c>
      <c r="F82" s="394">
        <f>IFERROR(IF(Loan_Not_Paid*Values_Entered,Principal,""), "")</f>
        <v>261050.98350128511</v>
      </c>
      <c r="G82" s="394">
        <f>IFERROR(IF(Loan_Not_Paid*Values_Entered,Interest,""), "")</f>
        <v>1030659.1662474739</v>
      </c>
      <c r="H82" s="394">
        <f>IFERROR(IF(Loan_Not_Paid*Values_Entered,Ending_Balance,""), "")</f>
        <v>190014487.40064794</v>
      </c>
    </row>
    <row r="83" spans="2:8">
      <c r="B83" s="396">
        <f>IFERROR(IF(Loan_Not_Paid*Values_Entered,Payment_Number,""), "")</f>
        <v>66</v>
      </c>
      <c r="C83" s="395"/>
      <c r="D83" s="394">
        <f>IFERROR(IF(Loan_Not_Paid*Values_Entered,Beginning_Balance,""), "")</f>
        <v>190014487.40064794</v>
      </c>
      <c r="E83" s="394">
        <f>IFERROR(IF(Loan_Not_Paid*Values_Entered,Monthly_Payment,""), "")</f>
        <v>1291710.1497487591</v>
      </c>
      <c r="F83" s="394">
        <f>IFERROR(IF(Loan_Not_Paid*Values_Entered,Principal,""), "")</f>
        <v>262465.00966191705</v>
      </c>
      <c r="G83" s="394">
        <f>IFERROR(IF(Loan_Not_Paid*Values_Entered,Interest,""), "")</f>
        <v>1029245.1400868421</v>
      </c>
      <c r="H83" s="394">
        <f>IFERROR(IF(Loan_Not_Paid*Values_Entered,Ending_Balance,""), "")</f>
        <v>189752022.39098603</v>
      </c>
    </row>
    <row r="84" spans="2:8">
      <c r="B84" s="396">
        <f>IFERROR(IF(Loan_Not_Paid*Values_Entered,Payment_Number,""), "")</f>
        <v>67</v>
      </c>
      <c r="C84" s="395"/>
      <c r="D84" s="394">
        <f>IFERROR(IF(Loan_Not_Paid*Values_Entered,Beginning_Balance,""), "")</f>
        <v>189752022.39098603</v>
      </c>
      <c r="E84" s="394">
        <f>IFERROR(IF(Loan_Not_Paid*Values_Entered,Monthly_Payment,""), "")</f>
        <v>1291710.1497487591</v>
      </c>
      <c r="F84" s="394">
        <f>IFERROR(IF(Loan_Not_Paid*Values_Entered,Principal,""), "")</f>
        <v>263886.69513091916</v>
      </c>
      <c r="G84" s="394">
        <f>IFERROR(IF(Loan_Not_Paid*Values_Entered,Interest,""), "")</f>
        <v>1027823.45461784</v>
      </c>
      <c r="H84" s="394">
        <f>IFERROR(IF(Loan_Not_Paid*Values_Entered,Ending_Balance,""), "")</f>
        <v>189488135.69585514</v>
      </c>
    </row>
    <row r="85" spans="2:8">
      <c r="B85" s="396">
        <f>IFERROR(IF(Loan_Not_Paid*Values_Entered,Payment_Number,""), "")</f>
        <v>68</v>
      </c>
      <c r="C85" s="395"/>
      <c r="D85" s="394">
        <f>IFERROR(IF(Loan_Not_Paid*Values_Entered,Beginning_Balance,""), "")</f>
        <v>189488135.69585514</v>
      </c>
      <c r="E85" s="394">
        <f>IFERROR(IF(Loan_Not_Paid*Values_Entered,Monthly_Payment,""), "")</f>
        <v>1291710.1497487591</v>
      </c>
      <c r="F85" s="394">
        <f>IFERROR(IF(Loan_Not_Paid*Values_Entered,Principal,""), "")</f>
        <v>265316.08139621164</v>
      </c>
      <c r="G85" s="394">
        <f>IFERROR(IF(Loan_Not_Paid*Values_Entered,Interest,""), "")</f>
        <v>1026394.0683525475</v>
      </c>
      <c r="H85" s="394">
        <f>IFERROR(IF(Loan_Not_Paid*Values_Entered,Ending_Balance,""), "")</f>
        <v>189222819.61445892</v>
      </c>
    </row>
    <row r="86" spans="2:8">
      <c r="B86" s="396">
        <f>IFERROR(IF(Loan_Not_Paid*Values_Entered,Payment_Number,""), "")</f>
        <v>69</v>
      </c>
      <c r="C86" s="395"/>
      <c r="D86" s="394">
        <f>IFERROR(IF(Loan_Not_Paid*Values_Entered,Beginning_Balance,""), "")</f>
        <v>189222819.61445892</v>
      </c>
      <c r="E86" s="394">
        <f>IFERROR(IF(Loan_Not_Paid*Values_Entered,Monthly_Payment,""), "")</f>
        <v>1291710.1497487591</v>
      </c>
      <c r="F86" s="394">
        <f>IFERROR(IF(Loan_Not_Paid*Values_Entered,Principal,""), "")</f>
        <v>266753.21017044107</v>
      </c>
      <c r="G86" s="394">
        <f>IFERROR(IF(Loan_Not_Paid*Values_Entered,Interest,""), "")</f>
        <v>1024956.9395783179</v>
      </c>
      <c r="H86" s="394">
        <f>IFERROR(IF(Loan_Not_Paid*Values_Entered,Ending_Balance,""), "")</f>
        <v>188956066.40428847</v>
      </c>
    </row>
    <row r="87" spans="2:8">
      <c r="B87" s="396">
        <f>IFERROR(IF(Loan_Not_Paid*Values_Entered,Payment_Number,""), "")</f>
        <v>70</v>
      </c>
      <c r="C87" s="395"/>
      <c r="D87" s="394">
        <f>IFERROR(IF(Loan_Not_Paid*Values_Entered,Beginning_Balance,""), "")</f>
        <v>188956066.40428847</v>
      </c>
      <c r="E87" s="394">
        <f>IFERROR(IF(Loan_Not_Paid*Values_Entered,Monthly_Payment,""), "")</f>
        <v>1291710.1497487591</v>
      </c>
      <c r="F87" s="394">
        <f>IFERROR(IF(Loan_Not_Paid*Values_Entered,Principal,""), "")</f>
        <v>268198.12339219765</v>
      </c>
      <c r="G87" s="394">
        <f>IFERROR(IF(Loan_Not_Paid*Values_Entered,Interest,""), "")</f>
        <v>1023512.0263565615</v>
      </c>
      <c r="H87" s="394">
        <f>IFERROR(IF(Loan_Not_Paid*Values_Entered,Ending_Balance,""), "")</f>
        <v>188687868.28089631</v>
      </c>
    </row>
    <row r="88" spans="2:8">
      <c r="B88" s="396">
        <f>IFERROR(IF(Loan_Not_Paid*Values_Entered,Payment_Number,""), "")</f>
        <v>71</v>
      </c>
      <c r="C88" s="395"/>
      <c r="D88" s="394">
        <f>IFERROR(IF(Loan_Not_Paid*Values_Entered,Beginning_Balance,""), "")</f>
        <v>188687868.28089631</v>
      </c>
      <c r="E88" s="394">
        <f>IFERROR(IF(Loan_Not_Paid*Values_Entered,Monthly_Payment,""), "")</f>
        <v>1291710.1497487591</v>
      </c>
      <c r="F88" s="394">
        <f>IFERROR(IF(Loan_Not_Paid*Values_Entered,Principal,""), "")</f>
        <v>269650.86322723876</v>
      </c>
      <c r="G88" s="394">
        <f>IFERROR(IF(Loan_Not_Paid*Values_Entered,Interest,""), "")</f>
        <v>1022059.2865215203</v>
      </c>
      <c r="H88" s="394">
        <f>IFERROR(IF(Loan_Not_Paid*Values_Entered,Ending_Balance,""), "")</f>
        <v>188418217.417669</v>
      </c>
    </row>
    <row r="89" spans="2:8">
      <c r="B89" s="396">
        <f>IFERROR(IF(Loan_Not_Paid*Values_Entered,Payment_Number,""), "")</f>
        <v>72</v>
      </c>
      <c r="C89" s="395"/>
      <c r="D89" s="394">
        <f>IFERROR(IF(Loan_Not_Paid*Values_Entered,Beginning_Balance,""), "")</f>
        <v>188418217.417669</v>
      </c>
      <c r="E89" s="394">
        <f>IFERROR(IF(Loan_Not_Paid*Values_Entered,Monthly_Payment,""), "")</f>
        <v>1291710.1497487591</v>
      </c>
      <c r="F89" s="394">
        <f>IFERROR(IF(Loan_Not_Paid*Values_Entered,Principal,""), "")</f>
        <v>271111.47206971963</v>
      </c>
      <c r="G89" s="394">
        <f>IFERROR(IF(Loan_Not_Paid*Values_Entered,Interest,""), "")</f>
        <v>1020598.6776790397</v>
      </c>
      <c r="H89" s="394">
        <f>IFERROR(IF(Loan_Not_Paid*Values_Entered,Ending_Balance,""), "")</f>
        <v>188147105.94559932</v>
      </c>
    </row>
    <row r="90" spans="2:8">
      <c r="B90" s="396">
        <f>IFERROR(IF(Loan_Not_Paid*Values_Entered,Payment_Number,""), "")</f>
        <v>73</v>
      </c>
      <c r="C90" s="395"/>
      <c r="D90" s="394">
        <f>IFERROR(IF(Loan_Not_Paid*Values_Entered,Beginning_Balance,""), "")</f>
        <v>188147105.94559932</v>
      </c>
      <c r="E90" s="394">
        <f>IFERROR(IF(Loan_Not_Paid*Values_Entered,Monthly_Payment,""), "")</f>
        <v>1291710.1497487591</v>
      </c>
      <c r="F90" s="394">
        <f>IFERROR(IF(Loan_Not_Paid*Values_Entered,Principal,""), "")</f>
        <v>272579.99254343059</v>
      </c>
      <c r="G90" s="394">
        <f>IFERROR(IF(Loan_Not_Paid*Values_Entered,Interest,""), "")</f>
        <v>1019130.1572053286</v>
      </c>
      <c r="H90" s="394">
        <f>IFERROR(IF(Loan_Not_Paid*Values_Entered,Ending_Balance,""), "")</f>
        <v>187874525.95305589</v>
      </c>
    </row>
    <row r="91" spans="2:8">
      <c r="B91" s="396">
        <f>IFERROR(IF(Loan_Not_Paid*Values_Entered,Payment_Number,""), "")</f>
        <v>74</v>
      </c>
      <c r="C91" s="395"/>
      <c r="D91" s="394">
        <f>IFERROR(IF(Loan_Not_Paid*Values_Entered,Beginning_Balance,""), "")</f>
        <v>187874525.95305589</v>
      </c>
      <c r="E91" s="394">
        <f>IFERROR(IF(Loan_Not_Paid*Values_Entered,Monthly_Payment,""), "")</f>
        <v>1291710.1497487591</v>
      </c>
      <c r="F91" s="394">
        <f>IFERROR(IF(Loan_Not_Paid*Values_Entered,Principal,""), "")</f>
        <v>274056.4675030408</v>
      </c>
      <c r="G91" s="394">
        <f>IFERROR(IF(Loan_Not_Paid*Values_Entered,Interest,""), "")</f>
        <v>1017653.6822457183</v>
      </c>
      <c r="H91" s="394">
        <f>IFERROR(IF(Loan_Not_Paid*Values_Entered,Ending_Balance,""), "")</f>
        <v>187600469.48555285</v>
      </c>
    </row>
    <row r="92" spans="2:8">
      <c r="B92" s="396">
        <f>IFERROR(IF(Loan_Not_Paid*Values_Entered,Payment_Number,""), "")</f>
        <v>75</v>
      </c>
      <c r="C92" s="395"/>
      <c r="D92" s="394">
        <f>IFERROR(IF(Loan_Not_Paid*Values_Entered,Beginning_Balance,""), "")</f>
        <v>187600469.48555285</v>
      </c>
      <c r="E92" s="394">
        <f>IFERROR(IF(Loan_Not_Paid*Values_Entered,Monthly_Payment,""), "")</f>
        <v>1291710.1497487591</v>
      </c>
      <c r="F92" s="394">
        <f>IFERROR(IF(Loan_Not_Paid*Values_Entered,Principal,""), "")</f>
        <v>275540.94003534899</v>
      </c>
      <c r="G92" s="394">
        <f>IFERROR(IF(Loan_Not_Paid*Values_Entered,Interest,""), "")</f>
        <v>1016169.2097134101</v>
      </c>
      <c r="H92" s="394">
        <f>IFERROR(IF(Loan_Not_Paid*Values_Entered,Ending_Balance,""), "")</f>
        <v>187324928.5455175</v>
      </c>
    </row>
    <row r="93" spans="2:8">
      <c r="B93" s="396">
        <f>IFERROR(IF(Loan_Not_Paid*Values_Entered,Payment_Number,""), "")</f>
        <v>76</v>
      </c>
      <c r="C93" s="395"/>
      <c r="D93" s="394">
        <f>IFERROR(IF(Loan_Not_Paid*Values_Entered,Beginning_Balance,""), "")</f>
        <v>187324928.5455175</v>
      </c>
      <c r="E93" s="394">
        <f>IFERROR(IF(Loan_Not_Paid*Values_Entered,Monthly_Payment,""), "")</f>
        <v>1291710.1497487591</v>
      </c>
      <c r="F93" s="394">
        <f>IFERROR(IF(Loan_Not_Paid*Values_Entered,Principal,""), "")</f>
        <v>277033.45346054045</v>
      </c>
      <c r="G93" s="394">
        <f>IFERROR(IF(Loan_Not_Paid*Values_Entered,Interest,""), "")</f>
        <v>1014676.6962882186</v>
      </c>
      <c r="H93" s="394">
        <f>IFERROR(IF(Loan_Not_Paid*Values_Entered,Ending_Balance,""), "")</f>
        <v>187047895.09205693</v>
      </c>
    </row>
    <row r="94" spans="2:8">
      <c r="B94" s="396">
        <f>IFERROR(IF(Loan_Not_Paid*Values_Entered,Payment_Number,""), "")</f>
        <v>77</v>
      </c>
      <c r="C94" s="395"/>
      <c r="D94" s="394">
        <f>IFERROR(IF(Loan_Not_Paid*Values_Entered,Beginning_Balance,""), "")</f>
        <v>187047895.09205693</v>
      </c>
      <c r="E94" s="394">
        <f>IFERROR(IF(Loan_Not_Paid*Values_Entered,Monthly_Payment,""), "")</f>
        <v>1291710.1497487591</v>
      </c>
      <c r="F94" s="394">
        <f>IFERROR(IF(Loan_Not_Paid*Values_Entered,Principal,""), "")</f>
        <v>278534.05133345176</v>
      </c>
      <c r="G94" s="394">
        <f>IFERROR(IF(Loan_Not_Paid*Values_Entered,Interest,""), "")</f>
        <v>1013176.0984153075</v>
      </c>
      <c r="H94" s="394">
        <f>IFERROR(IF(Loan_Not_Paid*Values_Entered,Ending_Balance,""), "")</f>
        <v>186769361.0407235</v>
      </c>
    </row>
    <row r="95" spans="2:8">
      <c r="B95" s="396">
        <f>IFERROR(IF(Loan_Not_Paid*Values_Entered,Payment_Number,""), "")</f>
        <v>78</v>
      </c>
      <c r="C95" s="395"/>
      <c r="D95" s="394">
        <f>IFERROR(IF(Loan_Not_Paid*Values_Entered,Beginning_Balance,""), "")</f>
        <v>186769361.0407235</v>
      </c>
      <c r="E95" s="394">
        <f>IFERROR(IF(Loan_Not_Paid*Values_Entered,Monthly_Payment,""), "")</f>
        <v>1291710.1497487591</v>
      </c>
      <c r="F95" s="394">
        <f>IFERROR(IF(Loan_Not_Paid*Values_Entered,Principal,""), "")</f>
        <v>280042.77744484128</v>
      </c>
      <c r="G95" s="394">
        <f>IFERROR(IF(Loan_Not_Paid*Values_Entered,Interest,""), "")</f>
        <v>1011667.3723039179</v>
      </c>
      <c r="H95" s="394">
        <f>IFERROR(IF(Loan_Not_Paid*Values_Entered,Ending_Balance,""), "")</f>
        <v>186489318.26327866</v>
      </c>
    </row>
    <row r="96" spans="2:8">
      <c r="B96" s="396">
        <f>IFERROR(IF(Loan_Not_Paid*Values_Entered,Payment_Number,""), "")</f>
        <v>79</v>
      </c>
      <c r="C96" s="395"/>
      <c r="D96" s="394">
        <f>IFERROR(IF(Loan_Not_Paid*Values_Entered,Beginning_Balance,""), "")</f>
        <v>186489318.26327866</v>
      </c>
      <c r="E96" s="394">
        <f>IFERROR(IF(Loan_Not_Paid*Values_Entered,Monthly_Payment,""), "")</f>
        <v>1291710.1497487591</v>
      </c>
      <c r="F96" s="394">
        <f>IFERROR(IF(Loan_Not_Paid*Values_Entered,Principal,""), "")</f>
        <v>281559.67582266743</v>
      </c>
      <c r="G96" s="394">
        <f>IFERROR(IF(Loan_Not_Paid*Values_Entered,Interest,""), "")</f>
        <v>1010150.4739260917</v>
      </c>
      <c r="H96" s="394">
        <f>IFERROR(IF(Loan_Not_Paid*Values_Entered,Ending_Balance,""), "")</f>
        <v>186207758.58745599</v>
      </c>
    </row>
    <row r="97" spans="2:8">
      <c r="B97" s="396">
        <f>IFERROR(IF(Loan_Not_Paid*Values_Entered,Payment_Number,""), "")</f>
        <v>80</v>
      </c>
      <c r="C97" s="395"/>
      <c r="D97" s="394">
        <f>IFERROR(IF(Loan_Not_Paid*Values_Entered,Beginning_Balance,""), "")</f>
        <v>186207758.58745599</v>
      </c>
      <c r="E97" s="394">
        <f>IFERROR(IF(Loan_Not_Paid*Values_Entered,Monthly_Payment,""), "")</f>
        <v>1291710.1497487591</v>
      </c>
      <c r="F97" s="394">
        <f>IFERROR(IF(Loan_Not_Paid*Values_Entered,Principal,""), "")</f>
        <v>283084.79073337361</v>
      </c>
      <c r="G97" s="394">
        <f>IFERROR(IF(Loan_Not_Paid*Values_Entered,Interest,""), "")</f>
        <v>1008625.3590153855</v>
      </c>
      <c r="H97" s="394">
        <f>IFERROR(IF(Loan_Not_Paid*Values_Entered,Ending_Balance,""), "")</f>
        <v>185924673.79672268</v>
      </c>
    </row>
    <row r="98" spans="2:8">
      <c r="B98" s="396">
        <f>IFERROR(IF(Loan_Not_Paid*Values_Entered,Payment_Number,""), "")</f>
        <v>81</v>
      </c>
      <c r="C98" s="395"/>
      <c r="D98" s="394">
        <f>IFERROR(IF(Loan_Not_Paid*Values_Entered,Beginning_Balance,""), "")</f>
        <v>185924673.79672268</v>
      </c>
      <c r="E98" s="394">
        <f>IFERROR(IF(Loan_Not_Paid*Values_Entered,Monthly_Payment,""), "")</f>
        <v>1291710.1497487591</v>
      </c>
      <c r="F98" s="394">
        <f>IFERROR(IF(Loan_Not_Paid*Values_Entered,Principal,""), "")</f>
        <v>284618.16668317938</v>
      </c>
      <c r="G98" s="394">
        <f>IFERROR(IF(Loan_Not_Paid*Values_Entered,Interest,""), "")</f>
        <v>1007091.9830655798</v>
      </c>
      <c r="H98" s="394">
        <f>IFERROR(IF(Loan_Not_Paid*Values_Entered,Ending_Balance,""), "")</f>
        <v>185640055.63003951</v>
      </c>
    </row>
    <row r="99" spans="2:8">
      <c r="B99" s="396">
        <f>IFERROR(IF(Loan_Not_Paid*Values_Entered,Payment_Number,""), "")</f>
        <v>82</v>
      </c>
      <c r="C99" s="395"/>
      <c r="D99" s="394">
        <f>IFERROR(IF(Loan_Not_Paid*Values_Entered,Beginning_Balance,""), "")</f>
        <v>185640055.63003951</v>
      </c>
      <c r="E99" s="394">
        <f>IFERROR(IF(Loan_Not_Paid*Values_Entered,Monthly_Payment,""), "")</f>
        <v>1291710.1497487591</v>
      </c>
      <c r="F99" s="394">
        <f>IFERROR(IF(Loan_Not_Paid*Values_Entered,Principal,""), "")</f>
        <v>286159.84841937991</v>
      </c>
      <c r="G99" s="394">
        <f>IFERROR(IF(Loan_Not_Paid*Values_Entered,Interest,""), "")</f>
        <v>1005550.3013293791</v>
      </c>
      <c r="H99" s="394">
        <f>IFERROR(IF(Loan_Not_Paid*Values_Entered,Ending_Balance,""), "")</f>
        <v>185353895.78162012</v>
      </c>
    </row>
    <row r="100" spans="2:8">
      <c r="B100" s="396">
        <f>IFERROR(IF(Loan_Not_Paid*Values_Entered,Payment_Number,""), "")</f>
        <v>83</v>
      </c>
      <c r="C100" s="395"/>
      <c r="D100" s="394">
        <f>IFERROR(IF(Loan_Not_Paid*Values_Entered,Beginning_Balance,""), "")</f>
        <v>185353895.78162012</v>
      </c>
      <c r="E100" s="394">
        <f>IFERROR(IF(Loan_Not_Paid*Values_Entered,Monthly_Payment,""), "")</f>
        <v>1291710.1497487591</v>
      </c>
      <c r="F100" s="394">
        <f>IFERROR(IF(Loan_Not_Paid*Values_Entered,Principal,""), "")</f>
        <v>287709.88093165157</v>
      </c>
      <c r="G100" s="394">
        <f>IFERROR(IF(Loan_Not_Paid*Values_Entered,Interest,""), "")</f>
        <v>1004000.2688171074</v>
      </c>
      <c r="H100" s="394">
        <f>IFERROR(IF(Loan_Not_Paid*Values_Entered,Ending_Balance,""), "")</f>
        <v>185066185.90068844</v>
      </c>
    </row>
    <row r="101" spans="2:8">
      <c r="B101" s="396">
        <f>IFERROR(IF(Loan_Not_Paid*Values_Entered,Payment_Number,""), "")</f>
        <v>84</v>
      </c>
      <c r="C101" s="395"/>
      <c r="D101" s="394">
        <f>IFERROR(IF(Loan_Not_Paid*Values_Entered,Beginning_Balance,""), "")</f>
        <v>185066185.90068844</v>
      </c>
      <c r="E101" s="394">
        <f>IFERROR(IF(Loan_Not_Paid*Values_Entered,Monthly_Payment,""), "")</f>
        <v>1291710.1497487591</v>
      </c>
      <c r="F101" s="394">
        <f>IFERROR(IF(Loan_Not_Paid*Values_Entered,Principal,""), "")</f>
        <v>289268.30945336464</v>
      </c>
      <c r="G101" s="394">
        <f>IFERROR(IF(Loan_Not_Paid*Values_Entered,Interest,""), "")</f>
        <v>1002441.8402953944</v>
      </c>
      <c r="H101" s="394">
        <f>IFERROR(IF(Loan_Not_Paid*Values_Entered,Ending_Balance,""), "")</f>
        <v>184776917.5912351</v>
      </c>
    </row>
    <row r="102" spans="2:8">
      <c r="B102" s="396">
        <f>IFERROR(IF(Loan_Not_Paid*Values_Entered,Payment_Number,""), "")</f>
        <v>85</v>
      </c>
      <c r="C102" s="395"/>
      <c r="D102" s="394">
        <f>IFERROR(IF(Loan_Not_Paid*Values_Entered,Beginning_Balance,""), "")</f>
        <v>184776917.5912351</v>
      </c>
      <c r="E102" s="394">
        <f>IFERROR(IF(Loan_Not_Paid*Values_Entered,Monthly_Payment,""), "")</f>
        <v>1291710.1497487591</v>
      </c>
      <c r="F102" s="394">
        <f>IFERROR(IF(Loan_Not_Paid*Values_Entered,Principal,""), "")</f>
        <v>290835.1794629037</v>
      </c>
      <c r="G102" s="394">
        <f>IFERROR(IF(Loan_Not_Paid*Values_Entered,Interest,""), "")</f>
        <v>1000874.9702858554</v>
      </c>
      <c r="H102" s="394">
        <f>IFERROR(IF(Loan_Not_Paid*Values_Entered,Ending_Balance,""), "")</f>
        <v>184486082.41177222</v>
      </c>
    </row>
    <row r="103" spans="2:8">
      <c r="B103" s="396">
        <f>IFERROR(IF(Loan_Not_Paid*Values_Entered,Payment_Number,""), "")</f>
        <v>86</v>
      </c>
      <c r="C103" s="395"/>
      <c r="D103" s="394">
        <f>IFERROR(IF(Loan_Not_Paid*Values_Entered,Beginning_Balance,""), "")</f>
        <v>184486082.41177222</v>
      </c>
      <c r="E103" s="394">
        <f>IFERROR(IF(Loan_Not_Paid*Values_Entered,Monthly_Payment,""), "")</f>
        <v>1291710.1497487591</v>
      </c>
      <c r="F103" s="394">
        <f>IFERROR(IF(Loan_Not_Paid*Values_Entered,Principal,""), "")</f>
        <v>292410.53668499447</v>
      </c>
      <c r="G103" s="394">
        <f>IFERROR(IF(Loan_Not_Paid*Values_Entered,Interest,""), "")</f>
        <v>999299.61306376464</v>
      </c>
      <c r="H103" s="394">
        <f>IFERROR(IF(Loan_Not_Paid*Values_Entered,Ending_Balance,""), "")</f>
        <v>184193671.87508717</v>
      </c>
    </row>
    <row r="104" spans="2:8">
      <c r="B104" s="396">
        <f>IFERROR(IF(Loan_Not_Paid*Values_Entered,Payment_Number,""), "")</f>
        <v>87</v>
      </c>
      <c r="C104" s="395"/>
      <c r="D104" s="394">
        <f>IFERROR(IF(Loan_Not_Paid*Values_Entered,Beginning_Balance,""), "")</f>
        <v>184193671.87508717</v>
      </c>
      <c r="E104" s="394">
        <f>IFERROR(IF(Loan_Not_Paid*Values_Entered,Monthly_Payment,""), "")</f>
        <v>1291710.1497487591</v>
      </c>
      <c r="F104" s="394">
        <f>IFERROR(IF(Loan_Not_Paid*Values_Entered,Principal,""), "")</f>
        <v>293994.42709203821</v>
      </c>
      <c r="G104" s="394">
        <f>IFERROR(IF(Loan_Not_Paid*Values_Entered,Interest,""), "")</f>
        <v>997715.7226567209</v>
      </c>
      <c r="H104" s="394">
        <f>IFERROR(IF(Loan_Not_Paid*Values_Entered,Ending_Balance,""), "")</f>
        <v>183899677.44799516</v>
      </c>
    </row>
    <row r="105" spans="2:8">
      <c r="B105" s="396">
        <f>IFERROR(IF(Loan_Not_Paid*Values_Entered,Payment_Number,""), "")</f>
        <v>88</v>
      </c>
      <c r="C105" s="395"/>
      <c r="D105" s="394">
        <f>IFERROR(IF(Loan_Not_Paid*Values_Entered,Beginning_Balance,""), "")</f>
        <v>183899677.44799516</v>
      </c>
      <c r="E105" s="394">
        <f>IFERROR(IF(Loan_Not_Paid*Values_Entered,Monthly_Payment,""), "")</f>
        <v>1291710.1497487591</v>
      </c>
      <c r="F105" s="394">
        <f>IFERROR(IF(Loan_Not_Paid*Values_Entered,Principal,""), "")</f>
        <v>295586.89690545341</v>
      </c>
      <c r="G105" s="394">
        <f>IFERROR(IF(Loan_Not_Paid*Values_Entered,Interest,""), "")</f>
        <v>996123.2528433057</v>
      </c>
      <c r="H105" s="394">
        <f>IFERROR(IF(Loan_Not_Paid*Values_Entered,Ending_Balance,""), "")</f>
        <v>183604090.55108973</v>
      </c>
    </row>
    <row r="106" spans="2:8">
      <c r="B106" s="396">
        <f>IFERROR(IF(Loan_Not_Paid*Values_Entered,Payment_Number,""), "")</f>
        <v>89</v>
      </c>
      <c r="C106" s="395"/>
      <c r="D106" s="394">
        <f>IFERROR(IF(Loan_Not_Paid*Values_Entered,Beginning_Balance,""), "")</f>
        <v>183604090.55108973</v>
      </c>
      <c r="E106" s="394">
        <f>IFERROR(IF(Loan_Not_Paid*Values_Entered,Monthly_Payment,""), "")</f>
        <v>1291710.1497487591</v>
      </c>
      <c r="F106" s="394">
        <f>IFERROR(IF(Loan_Not_Paid*Values_Entered,Principal,""), "")</f>
        <v>297187.9925970246</v>
      </c>
      <c r="G106" s="394">
        <f>IFERROR(IF(Loan_Not_Paid*Values_Entered,Interest,""), "")</f>
        <v>994522.15715173469</v>
      </c>
      <c r="H106" s="394">
        <f>IFERROR(IF(Loan_Not_Paid*Values_Entered,Ending_Balance,""), "")</f>
        <v>183306902.55849266</v>
      </c>
    </row>
    <row r="107" spans="2:8">
      <c r="B107" s="396">
        <f>IFERROR(IF(Loan_Not_Paid*Values_Entered,Payment_Number,""), "")</f>
        <v>90</v>
      </c>
      <c r="C107" s="395"/>
      <c r="D107" s="394">
        <f>IFERROR(IF(Loan_Not_Paid*Values_Entered,Beginning_Balance,""), "")</f>
        <v>183306902.55849266</v>
      </c>
      <c r="E107" s="394">
        <f>IFERROR(IF(Loan_Not_Paid*Values_Entered,Monthly_Payment,""), "")</f>
        <v>1291710.1497487591</v>
      </c>
      <c r="F107" s="394">
        <f>IFERROR(IF(Loan_Not_Paid*Values_Entered,Principal,""), "")</f>
        <v>298797.76089025848</v>
      </c>
      <c r="G107" s="394">
        <f>IFERROR(IF(Loan_Not_Paid*Values_Entered,Interest,""), "")</f>
        <v>992912.38885850064</v>
      </c>
      <c r="H107" s="394">
        <f>IFERROR(IF(Loan_Not_Paid*Values_Entered,Ending_Balance,""), "")</f>
        <v>183008104.79760247</v>
      </c>
    </row>
    <row r="108" spans="2:8">
      <c r="B108" s="396">
        <f>IFERROR(IF(Loan_Not_Paid*Values_Entered,Payment_Number,""), "")</f>
        <v>91</v>
      </c>
      <c r="C108" s="395"/>
      <c r="D108" s="394">
        <f>IFERROR(IF(Loan_Not_Paid*Values_Entered,Beginning_Balance,""), "")</f>
        <v>183008104.79760247</v>
      </c>
      <c r="E108" s="394">
        <f>IFERROR(IF(Loan_Not_Paid*Values_Entered,Monthly_Payment,""), "")</f>
        <v>1291710.1497487591</v>
      </c>
      <c r="F108" s="394">
        <f>IFERROR(IF(Loan_Not_Paid*Values_Entered,Principal,""), "")</f>
        <v>300416.24876174738</v>
      </c>
      <c r="G108" s="394">
        <f>IFERROR(IF(Loan_Not_Paid*Values_Entered,Interest,""), "")</f>
        <v>991293.90098701161</v>
      </c>
      <c r="H108" s="394">
        <f>IFERROR(IF(Loan_Not_Paid*Values_Entered,Ending_Balance,""), "")</f>
        <v>182707688.54884073</v>
      </c>
    </row>
    <row r="109" spans="2:8">
      <c r="B109" s="396">
        <f>IFERROR(IF(Loan_Not_Paid*Values_Entered,Payment_Number,""), "")</f>
        <v>92</v>
      </c>
      <c r="C109" s="395"/>
      <c r="D109" s="394">
        <f>IFERROR(IF(Loan_Not_Paid*Values_Entered,Beginning_Balance,""), "")</f>
        <v>182707688.54884073</v>
      </c>
      <c r="E109" s="394">
        <f>IFERROR(IF(Loan_Not_Paid*Values_Entered,Monthly_Payment,""), "")</f>
        <v>1291710.1497487591</v>
      </c>
      <c r="F109" s="394">
        <f>IFERROR(IF(Loan_Not_Paid*Values_Entered,Principal,""), "")</f>
        <v>302043.50344254024</v>
      </c>
      <c r="G109" s="394">
        <f>IFERROR(IF(Loan_Not_Paid*Values_Entered,Interest,""), "")</f>
        <v>989666.64630621893</v>
      </c>
      <c r="H109" s="394">
        <f>IFERROR(IF(Loan_Not_Paid*Values_Entered,Ending_Balance,""), "")</f>
        <v>182405645.04539818</v>
      </c>
    </row>
    <row r="110" spans="2:8">
      <c r="B110" s="396">
        <f>IFERROR(IF(Loan_Not_Paid*Values_Entered,Payment_Number,""), "")</f>
        <v>93</v>
      </c>
      <c r="C110" s="395"/>
      <c r="D110" s="394">
        <f>IFERROR(IF(Loan_Not_Paid*Values_Entered,Beginning_Balance,""), "")</f>
        <v>182405645.04539818</v>
      </c>
      <c r="E110" s="394">
        <f>IFERROR(IF(Loan_Not_Paid*Values_Entered,Monthly_Payment,""), "")</f>
        <v>1291710.1497487591</v>
      </c>
      <c r="F110" s="394">
        <f>IFERROR(IF(Loan_Not_Paid*Values_Entered,Principal,""), "")</f>
        <v>303679.57241952058</v>
      </c>
      <c r="G110" s="394">
        <f>IFERROR(IF(Loan_Not_Paid*Values_Entered,Interest,""), "")</f>
        <v>988030.57732923853</v>
      </c>
      <c r="H110" s="394">
        <f>IFERROR(IF(Loan_Not_Paid*Values_Entered,Ending_Balance,""), "")</f>
        <v>182101965.47297865</v>
      </c>
    </row>
    <row r="111" spans="2:8">
      <c r="B111" s="396">
        <f>IFERROR(IF(Loan_Not_Paid*Values_Entered,Payment_Number,""), "")</f>
        <v>94</v>
      </c>
      <c r="C111" s="395"/>
      <c r="D111" s="394">
        <f>IFERROR(IF(Loan_Not_Paid*Values_Entered,Beginning_Balance,""), "")</f>
        <v>182101965.47297865</v>
      </c>
      <c r="E111" s="394">
        <f>IFERROR(IF(Loan_Not_Paid*Values_Entered,Monthly_Payment,""), "")</f>
        <v>1291710.1497487591</v>
      </c>
      <c r="F111" s="394">
        <f>IFERROR(IF(Loan_Not_Paid*Values_Entered,Principal,""), "")</f>
        <v>305324.50343679299</v>
      </c>
      <c r="G111" s="394">
        <f>IFERROR(IF(Loan_Not_Paid*Values_Entered,Interest,""), "")</f>
        <v>986385.64631196612</v>
      </c>
      <c r="H111" s="394">
        <f>IFERROR(IF(Loan_Not_Paid*Values_Entered,Ending_Balance,""), "")</f>
        <v>181796640.96954188</v>
      </c>
    </row>
    <row r="112" spans="2:8">
      <c r="B112" s="396">
        <f>IFERROR(IF(Loan_Not_Paid*Values_Entered,Payment_Number,""), "")</f>
        <v>95</v>
      </c>
      <c r="C112" s="395"/>
      <c r="D112" s="394">
        <f>IFERROR(IF(Loan_Not_Paid*Values_Entered,Beginning_Balance,""), "")</f>
        <v>181796640.96954188</v>
      </c>
      <c r="E112" s="394">
        <f>IFERROR(IF(Loan_Not_Paid*Values_Entered,Monthly_Payment,""), "")</f>
        <v>1291710.1497487591</v>
      </c>
      <c r="F112" s="394">
        <f>IFERROR(IF(Loan_Not_Paid*Values_Entered,Principal,""), "")</f>
        <v>306978.34449707565</v>
      </c>
      <c r="G112" s="394">
        <f>IFERROR(IF(Loan_Not_Paid*Values_Entered,Interest,""), "")</f>
        <v>984731.80525168346</v>
      </c>
      <c r="H112" s="394">
        <f>IFERROR(IF(Loan_Not_Paid*Values_Entered,Ending_Balance,""), "")</f>
        <v>181489662.62504482</v>
      </c>
    </row>
    <row r="113" spans="2:8">
      <c r="B113" s="396">
        <f>IFERROR(IF(Loan_Not_Paid*Values_Entered,Payment_Number,""), "")</f>
        <v>96</v>
      </c>
      <c r="C113" s="395"/>
      <c r="D113" s="394">
        <f>IFERROR(IF(Loan_Not_Paid*Values_Entered,Beginning_Balance,""), "")</f>
        <v>181489662.62504482</v>
      </c>
      <c r="E113" s="394">
        <f>IFERROR(IF(Loan_Not_Paid*Values_Entered,Monthly_Payment,""), "")</f>
        <v>1291710.1497487591</v>
      </c>
      <c r="F113" s="394">
        <f>IFERROR(IF(Loan_Not_Paid*Values_Entered,Principal,""), "")</f>
        <v>308641.14386310149</v>
      </c>
      <c r="G113" s="394">
        <f>IFERROR(IF(Loan_Not_Paid*Values_Entered,Interest,""), "")</f>
        <v>983069.00588565774</v>
      </c>
      <c r="H113" s="394">
        <f>IFERROR(IF(Loan_Not_Paid*Values_Entered,Ending_Balance,""), "")</f>
        <v>181181021.48118168</v>
      </c>
    </row>
    <row r="114" spans="2:8">
      <c r="B114" s="396">
        <f>IFERROR(IF(Loan_Not_Paid*Values_Entered,Payment_Number,""), "")</f>
        <v>97</v>
      </c>
      <c r="C114" s="395"/>
      <c r="D114" s="394">
        <f>IFERROR(IF(Loan_Not_Paid*Values_Entered,Beginning_Balance,""), "")</f>
        <v>181181021.48118168</v>
      </c>
      <c r="E114" s="394">
        <f>IFERROR(IF(Loan_Not_Paid*Values_Entered,Monthly_Payment,""), "")</f>
        <v>1291710.1497487591</v>
      </c>
      <c r="F114" s="394">
        <f>IFERROR(IF(Loan_Not_Paid*Values_Entered,Principal,""), "")</f>
        <v>310312.9500590266</v>
      </c>
      <c r="G114" s="394">
        <f>IFERROR(IF(Loan_Not_Paid*Values_Entered,Interest,""), "")</f>
        <v>981397.19968973252</v>
      </c>
      <c r="H114" s="394">
        <f>IFERROR(IF(Loan_Not_Paid*Values_Entered,Ending_Balance,""), "")</f>
        <v>180870708.53112265</v>
      </c>
    </row>
    <row r="115" spans="2:8">
      <c r="B115" s="396">
        <f>IFERROR(IF(Loan_Not_Paid*Values_Entered,Payment_Number,""), "")</f>
        <v>98</v>
      </c>
      <c r="C115" s="395"/>
      <c r="D115" s="394">
        <f>IFERROR(IF(Loan_Not_Paid*Values_Entered,Beginning_Balance,""), "")</f>
        <v>180870708.53112265</v>
      </c>
      <c r="E115" s="394">
        <f>IFERROR(IF(Loan_Not_Paid*Values_Entered,Monthly_Payment,""), "")</f>
        <v>1291710.1497487591</v>
      </c>
      <c r="F115" s="394">
        <f>IFERROR(IF(Loan_Not_Paid*Values_Entered,Principal,""), "")</f>
        <v>311993.81187184632</v>
      </c>
      <c r="G115" s="394">
        <f>IFERROR(IF(Loan_Not_Paid*Values_Entered,Interest,""), "")</f>
        <v>979716.33787691279</v>
      </c>
      <c r="H115" s="394">
        <f>IFERROR(IF(Loan_Not_Paid*Values_Entered,Ending_Balance,""), "")</f>
        <v>180558714.71925083</v>
      </c>
    </row>
    <row r="116" spans="2:8">
      <c r="B116" s="396">
        <f>IFERROR(IF(Loan_Not_Paid*Values_Entered,Payment_Number,""), "")</f>
        <v>99</v>
      </c>
      <c r="C116" s="395"/>
      <c r="D116" s="394">
        <f>IFERROR(IF(Loan_Not_Paid*Values_Entered,Beginning_Balance,""), "")</f>
        <v>180558714.71925083</v>
      </c>
      <c r="E116" s="394">
        <f>IFERROR(IF(Loan_Not_Paid*Values_Entered,Monthly_Payment,""), "")</f>
        <v>1291710.1497487591</v>
      </c>
      <c r="F116" s="394">
        <f>IFERROR(IF(Loan_Not_Paid*Values_Entered,Principal,""), "")</f>
        <v>313683.7783528188</v>
      </c>
      <c r="G116" s="394">
        <f>IFERROR(IF(Loan_Not_Paid*Values_Entered,Interest,""), "")</f>
        <v>978026.37139594019</v>
      </c>
      <c r="H116" s="394">
        <f>IFERROR(IF(Loan_Not_Paid*Values_Entered,Ending_Balance,""), "")</f>
        <v>180245030.94089806</v>
      </c>
    </row>
    <row r="117" spans="2:8">
      <c r="B117" s="396">
        <f>IFERROR(IF(Loan_Not_Paid*Values_Entered,Payment_Number,""), "")</f>
        <v>100</v>
      </c>
      <c r="C117" s="395"/>
      <c r="D117" s="394">
        <f>IFERROR(IF(Loan_Not_Paid*Values_Entered,Beginning_Balance,""), "")</f>
        <v>180245030.94089806</v>
      </c>
      <c r="E117" s="394">
        <f>IFERROR(IF(Loan_Not_Paid*Values_Entered,Monthly_Payment,""), "")</f>
        <v>1291710.1497487591</v>
      </c>
      <c r="F117" s="394">
        <f>IFERROR(IF(Loan_Not_Paid*Values_Entered,Principal,""), "")</f>
        <v>315382.89881889662</v>
      </c>
      <c r="G117" s="394">
        <f>IFERROR(IF(Loan_Not_Paid*Values_Entered,Interest,""), "")</f>
        <v>976327.25092986261</v>
      </c>
      <c r="H117" s="394">
        <f>IFERROR(IF(Loan_Not_Paid*Values_Entered,Ending_Balance,""), "")</f>
        <v>179929648.04207912</v>
      </c>
    </row>
    <row r="118" spans="2:8">
      <c r="B118" s="396">
        <f>IFERROR(IF(Loan_Not_Paid*Values_Entered,Payment_Number,""), "")</f>
        <v>101</v>
      </c>
      <c r="C118" s="395"/>
      <c r="D118" s="394">
        <f>IFERROR(IF(Loan_Not_Paid*Values_Entered,Beginning_Balance,""), "")</f>
        <v>179929648.04207912</v>
      </c>
      <c r="E118" s="394">
        <f>IFERROR(IF(Loan_Not_Paid*Values_Entered,Monthly_Payment,""), "")</f>
        <v>1291710.1497487591</v>
      </c>
      <c r="F118" s="394">
        <f>IFERROR(IF(Loan_Not_Paid*Values_Entered,Principal,""), "")</f>
        <v>317091.22285416565</v>
      </c>
      <c r="G118" s="394">
        <f>IFERROR(IF(Loan_Not_Paid*Values_Entered,Interest,""), "")</f>
        <v>974618.92689459352</v>
      </c>
      <c r="H118" s="394">
        <f>IFERROR(IF(Loan_Not_Paid*Values_Entered,Ending_Balance,""), "")</f>
        <v>179612556.81922498</v>
      </c>
    </row>
    <row r="119" spans="2:8">
      <c r="B119" s="396">
        <f>IFERROR(IF(Loan_Not_Paid*Values_Entered,Payment_Number,""), "")</f>
        <v>102</v>
      </c>
      <c r="C119" s="395"/>
      <c r="D119" s="394">
        <f>IFERROR(IF(Loan_Not_Paid*Values_Entered,Beginning_Balance,""), "")</f>
        <v>179612556.81922498</v>
      </c>
      <c r="E119" s="394">
        <f>IFERROR(IF(Loan_Not_Paid*Values_Entered,Monthly_Payment,""), "")</f>
        <v>1291710.1497487591</v>
      </c>
      <c r="F119" s="394">
        <f>IFERROR(IF(Loan_Not_Paid*Values_Entered,Principal,""), "")</f>
        <v>318808.80031129241</v>
      </c>
      <c r="G119" s="394">
        <f>IFERROR(IF(Loan_Not_Paid*Values_Entered,Interest,""), "")</f>
        <v>972901.34943746671</v>
      </c>
      <c r="H119" s="394">
        <f>IFERROR(IF(Loan_Not_Paid*Values_Entered,Ending_Balance,""), "")</f>
        <v>179293748.01891366</v>
      </c>
    </row>
    <row r="120" spans="2:8">
      <c r="B120" s="396">
        <f>IFERROR(IF(Loan_Not_Paid*Values_Entered,Payment_Number,""), "")</f>
        <v>103</v>
      </c>
      <c r="C120" s="395"/>
      <c r="D120" s="394">
        <f>IFERROR(IF(Loan_Not_Paid*Values_Entered,Beginning_Balance,""), "")</f>
        <v>179293748.01891366</v>
      </c>
      <c r="E120" s="394">
        <f>IFERROR(IF(Loan_Not_Paid*Values_Entered,Monthly_Payment,""), "")</f>
        <v>1291710.1497487591</v>
      </c>
      <c r="F120" s="394">
        <f>IFERROR(IF(Loan_Not_Paid*Values_Entered,Principal,""), "")</f>
        <v>320535.68131297844</v>
      </c>
      <c r="G120" s="394">
        <f>IFERROR(IF(Loan_Not_Paid*Values_Entered,Interest,""), "")</f>
        <v>971174.46843578061</v>
      </c>
      <c r="H120" s="394">
        <f>IFERROR(IF(Loan_Not_Paid*Values_Entered,Ending_Balance,""), "")</f>
        <v>178973212.33760071</v>
      </c>
    </row>
    <row r="121" spans="2:8">
      <c r="B121" s="396">
        <f>IFERROR(IF(Loan_Not_Paid*Values_Entered,Payment_Number,""), "")</f>
        <v>104</v>
      </c>
      <c r="C121" s="395"/>
      <c r="D121" s="394">
        <f>IFERROR(IF(Loan_Not_Paid*Values_Entered,Beginning_Balance,""), "")</f>
        <v>178973212.33760071</v>
      </c>
      <c r="E121" s="394">
        <f>IFERROR(IF(Loan_Not_Paid*Values_Entered,Monthly_Payment,""), "")</f>
        <v>1291710.1497487591</v>
      </c>
      <c r="F121" s="394">
        <f>IFERROR(IF(Loan_Not_Paid*Values_Entered,Principal,""), "")</f>
        <v>322271.91625342378</v>
      </c>
      <c r="G121" s="394">
        <f>IFERROR(IF(Loan_Not_Paid*Values_Entered,Interest,""), "")</f>
        <v>969438.23349533544</v>
      </c>
      <c r="H121" s="394">
        <f>IFERROR(IF(Loan_Not_Paid*Values_Entered,Ending_Balance,""), "")</f>
        <v>178650940.42134729</v>
      </c>
    </row>
    <row r="122" spans="2:8">
      <c r="B122" s="396">
        <f>IFERROR(IF(Loan_Not_Paid*Values_Entered,Payment_Number,""), "")</f>
        <v>105</v>
      </c>
      <c r="C122" s="395"/>
      <c r="D122" s="394">
        <f>IFERROR(IF(Loan_Not_Paid*Values_Entered,Beginning_Balance,""), "")</f>
        <v>178650940.42134729</v>
      </c>
      <c r="E122" s="394">
        <f>IFERROR(IF(Loan_Not_Paid*Values_Entered,Monthly_Payment,""), "")</f>
        <v>1291710.1497487591</v>
      </c>
      <c r="F122" s="394">
        <f>IFERROR(IF(Loan_Not_Paid*Values_Entered,Principal,""), "")</f>
        <v>324017.55579979654</v>
      </c>
      <c r="G122" s="394">
        <f>IFERROR(IF(Loan_Not_Paid*Values_Entered,Interest,""), "")</f>
        <v>967692.5939489624</v>
      </c>
      <c r="H122" s="394">
        <f>IFERROR(IF(Loan_Not_Paid*Values_Entered,Ending_Balance,""), "")</f>
        <v>178326922.86554751</v>
      </c>
    </row>
    <row r="123" spans="2:8">
      <c r="B123" s="396">
        <f>IFERROR(IF(Loan_Not_Paid*Values_Entered,Payment_Number,""), "")</f>
        <v>106</v>
      </c>
      <c r="C123" s="395"/>
      <c r="D123" s="394">
        <f>IFERROR(IF(Loan_Not_Paid*Values_Entered,Beginning_Balance,""), "")</f>
        <v>178326922.86554751</v>
      </c>
      <c r="E123" s="394">
        <f>IFERROR(IF(Loan_Not_Paid*Values_Entered,Monthly_Payment,""), "")</f>
        <v>1291710.1497487591</v>
      </c>
      <c r="F123" s="394">
        <f>IFERROR(IF(Loan_Not_Paid*Values_Entered,Principal,""), "")</f>
        <v>325772.65089371207</v>
      </c>
      <c r="G123" s="394">
        <f>IFERROR(IF(Loan_Not_Paid*Values_Entered,Interest,""), "")</f>
        <v>965937.49885504704</v>
      </c>
      <c r="H123" s="394">
        <f>IFERROR(IF(Loan_Not_Paid*Values_Entered,Ending_Balance,""), "")</f>
        <v>178001150.21465379</v>
      </c>
    </row>
    <row r="124" spans="2:8">
      <c r="B124" s="396">
        <f>IFERROR(IF(Loan_Not_Paid*Values_Entered,Payment_Number,""), "")</f>
        <v>107</v>
      </c>
      <c r="C124" s="395"/>
      <c r="D124" s="394">
        <f>IFERROR(IF(Loan_Not_Paid*Values_Entered,Beginning_Balance,""), "")</f>
        <v>178001150.21465379</v>
      </c>
      <c r="E124" s="394">
        <f>IFERROR(IF(Loan_Not_Paid*Values_Entered,Monthly_Payment,""), "")</f>
        <v>1291710.1497487591</v>
      </c>
      <c r="F124" s="394">
        <f>IFERROR(IF(Loan_Not_Paid*Values_Entered,Principal,""), "")</f>
        <v>327537.25275271974</v>
      </c>
      <c r="G124" s="394">
        <f>IFERROR(IF(Loan_Not_Paid*Values_Entered,Interest,""), "")</f>
        <v>964172.89699603932</v>
      </c>
      <c r="H124" s="394">
        <f>IFERROR(IF(Loan_Not_Paid*Values_Entered,Ending_Balance,""), "")</f>
        <v>177673612.96190107</v>
      </c>
    </row>
    <row r="125" spans="2:8">
      <c r="B125" s="396">
        <f>IFERROR(IF(Loan_Not_Paid*Values_Entered,Payment_Number,""), "")</f>
        <v>108</v>
      </c>
      <c r="C125" s="395"/>
      <c r="D125" s="394">
        <f>IFERROR(IF(Loan_Not_Paid*Values_Entered,Beginning_Balance,""), "")</f>
        <v>177673612.96190107</v>
      </c>
      <c r="E125" s="394">
        <f>IFERROR(IF(Loan_Not_Paid*Values_Entered,Monthly_Payment,""), "")</f>
        <v>1291710.1497487591</v>
      </c>
      <c r="F125" s="394">
        <f>IFERROR(IF(Loan_Not_Paid*Values_Entered,Principal,""), "")</f>
        <v>329311.41287179687</v>
      </c>
      <c r="G125" s="394">
        <f>IFERROR(IF(Loan_Not_Paid*Values_Entered,Interest,""), "")</f>
        <v>962398.73687696201</v>
      </c>
      <c r="H125" s="394">
        <f>IFERROR(IF(Loan_Not_Paid*Values_Entered,Ending_Balance,""), "")</f>
        <v>177344301.54902929</v>
      </c>
    </row>
    <row r="126" spans="2:8">
      <c r="B126" s="396">
        <f>IFERROR(IF(Loan_Not_Paid*Values_Entered,Payment_Number,""), "")</f>
        <v>109</v>
      </c>
      <c r="C126" s="395"/>
      <c r="D126" s="394">
        <f>IFERROR(IF(Loan_Not_Paid*Values_Entered,Beginning_Balance,""), "")</f>
        <v>177344301.54902929</v>
      </c>
      <c r="E126" s="394">
        <f>IFERROR(IF(Loan_Not_Paid*Values_Entered,Monthly_Payment,""), "")</f>
        <v>1291710.1497487591</v>
      </c>
      <c r="F126" s="394">
        <f>IFERROR(IF(Loan_Not_Paid*Values_Entered,Principal,""), "")</f>
        <v>331095.18302485254</v>
      </c>
      <c r="G126" s="394">
        <f>IFERROR(IF(Loan_Not_Paid*Values_Entered,Interest,""), "")</f>
        <v>960614.96672390657</v>
      </c>
      <c r="H126" s="394">
        <f>IFERROR(IF(Loan_Not_Paid*Values_Entered,Ending_Balance,""), "")</f>
        <v>177013206.3660045</v>
      </c>
    </row>
    <row r="127" spans="2:8">
      <c r="B127" s="396">
        <f>IFERROR(IF(Loan_Not_Paid*Values_Entered,Payment_Number,""), "")</f>
        <v>110</v>
      </c>
      <c r="C127" s="395"/>
      <c r="D127" s="394">
        <f>IFERROR(IF(Loan_Not_Paid*Values_Entered,Beginning_Balance,""), "")</f>
        <v>177013206.3660045</v>
      </c>
      <c r="E127" s="394">
        <f>IFERROR(IF(Loan_Not_Paid*Values_Entered,Monthly_Payment,""), "")</f>
        <v>1291710.1497487591</v>
      </c>
      <c r="F127" s="394">
        <f>IFERROR(IF(Loan_Not_Paid*Values_Entered,Principal,""), "")</f>
        <v>332888.61526623712</v>
      </c>
      <c r="G127" s="394">
        <f>IFERROR(IF(Loan_Not_Paid*Values_Entered,Interest,""), "")</f>
        <v>958821.53448252194</v>
      </c>
      <c r="H127" s="394">
        <f>IFERROR(IF(Loan_Not_Paid*Values_Entered,Ending_Balance,""), "")</f>
        <v>176680317.75073817</v>
      </c>
    </row>
    <row r="128" spans="2:8">
      <c r="B128" s="396">
        <f>IFERROR(IF(Loan_Not_Paid*Values_Entered,Payment_Number,""), "")</f>
        <v>111</v>
      </c>
      <c r="C128" s="395"/>
      <c r="D128" s="394">
        <f>IFERROR(IF(Loan_Not_Paid*Values_Entered,Beginning_Balance,""), "")</f>
        <v>176680317.75073817</v>
      </c>
      <c r="E128" s="394">
        <f>IFERROR(IF(Loan_Not_Paid*Values_Entered,Monthly_Payment,""), "")</f>
        <v>1291710.1497487591</v>
      </c>
      <c r="F128" s="394">
        <f>IFERROR(IF(Loan_Not_Paid*Values_Entered,Principal,""), "")</f>
        <v>334691.76193226263</v>
      </c>
      <c r="G128" s="394">
        <f>IFERROR(IF(Loan_Not_Paid*Values_Entered,Interest,""), "")</f>
        <v>957018.38781649654</v>
      </c>
      <c r="H128" s="394">
        <f>IFERROR(IF(Loan_Not_Paid*Values_Entered,Ending_Balance,""), "")</f>
        <v>176345625.98880595</v>
      </c>
    </row>
    <row r="129" spans="2:8">
      <c r="B129" s="396">
        <f>IFERROR(IF(Loan_Not_Paid*Values_Entered,Payment_Number,""), "")</f>
        <v>112</v>
      </c>
      <c r="C129" s="395"/>
      <c r="D129" s="394">
        <f>IFERROR(IF(Loan_Not_Paid*Values_Entered,Beginning_Balance,""), "")</f>
        <v>176345625.98880595</v>
      </c>
      <c r="E129" s="394">
        <f>IFERROR(IF(Loan_Not_Paid*Values_Entered,Monthly_Payment,""), "")</f>
        <v>1291710.1497487591</v>
      </c>
      <c r="F129" s="394">
        <f>IFERROR(IF(Loan_Not_Paid*Values_Entered,Principal,""), "")</f>
        <v>336504.67564272904</v>
      </c>
      <c r="G129" s="394">
        <f>IFERROR(IF(Loan_Not_Paid*Values_Entered,Interest,""), "")</f>
        <v>955205.47410602996</v>
      </c>
      <c r="H129" s="394">
        <f>IFERROR(IF(Loan_Not_Paid*Values_Entered,Ending_Balance,""), "")</f>
        <v>176009121.31316325</v>
      </c>
    </row>
    <row r="130" spans="2:8">
      <c r="B130" s="396">
        <f>IFERROR(IF(Loan_Not_Paid*Values_Entered,Payment_Number,""), "")</f>
        <v>113</v>
      </c>
      <c r="C130" s="395"/>
      <c r="D130" s="394">
        <f>IFERROR(IF(Loan_Not_Paid*Values_Entered,Beginning_Balance,""), "")</f>
        <v>176009121.31316325</v>
      </c>
      <c r="E130" s="394">
        <f>IFERROR(IF(Loan_Not_Paid*Values_Entered,Monthly_Payment,""), "")</f>
        <v>1291710.1497487591</v>
      </c>
      <c r="F130" s="394">
        <f>IFERROR(IF(Loan_Not_Paid*Values_Entered,Principal,""), "")</f>
        <v>338327.40930246044</v>
      </c>
      <c r="G130" s="394">
        <f>IFERROR(IF(Loan_Not_Paid*Values_Entered,Interest,""), "")</f>
        <v>953382.74044629873</v>
      </c>
      <c r="H130" s="394">
        <f>IFERROR(IF(Loan_Not_Paid*Values_Entered,Ending_Balance,""), "")</f>
        <v>175670793.90386078</v>
      </c>
    </row>
    <row r="131" spans="2:8">
      <c r="B131" s="396">
        <f>IFERROR(IF(Loan_Not_Paid*Values_Entered,Payment_Number,""), "")</f>
        <v>114</v>
      </c>
      <c r="C131" s="395"/>
      <c r="D131" s="394">
        <f>IFERROR(IF(Loan_Not_Paid*Values_Entered,Beginning_Balance,""), "")</f>
        <v>175670793.90386078</v>
      </c>
      <c r="E131" s="394">
        <f>IFERROR(IF(Loan_Not_Paid*Values_Entered,Monthly_Payment,""), "")</f>
        <v>1291710.1497487591</v>
      </c>
      <c r="F131" s="394">
        <f>IFERROR(IF(Loan_Not_Paid*Values_Entered,Principal,""), "")</f>
        <v>340160.01610284875</v>
      </c>
      <c r="G131" s="394">
        <f>IFERROR(IF(Loan_Not_Paid*Values_Entered,Interest,""), "")</f>
        <v>951550.13364591054</v>
      </c>
      <c r="H131" s="394">
        <f>IFERROR(IF(Loan_Not_Paid*Values_Entered,Ending_Balance,""), "")</f>
        <v>175330633.88775796</v>
      </c>
    </row>
    <row r="132" spans="2:8">
      <c r="B132" s="396">
        <f>IFERROR(IF(Loan_Not_Paid*Values_Entered,Payment_Number,""), "")</f>
        <v>115</v>
      </c>
      <c r="C132" s="395"/>
      <c r="D132" s="394">
        <f>IFERROR(IF(Loan_Not_Paid*Values_Entered,Beginning_Balance,""), "")</f>
        <v>175330633.88775796</v>
      </c>
      <c r="E132" s="394">
        <f>IFERROR(IF(Loan_Not_Paid*Values_Entered,Monthly_Payment,""), "")</f>
        <v>1291710.1497487591</v>
      </c>
      <c r="F132" s="394">
        <f>IFERROR(IF(Loan_Not_Paid*Values_Entered,Principal,""), "")</f>
        <v>342002.54952340591</v>
      </c>
      <c r="G132" s="394">
        <f>IFERROR(IF(Loan_Not_Paid*Values_Entered,Interest,""), "")</f>
        <v>949707.60022535326</v>
      </c>
      <c r="H132" s="394">
        <f>IFERROR(IF(Loan_Not_Paid*Values_Entered,Ending_Balance,""), "")</f>
        <v>174988631.33823457</v>
      </c>
    </row>
    <row r="133" spans="2:8">
      <c r="B133" s="396">
        <f>IFERROR(IF(Loan_Not_Paid*Values_Entered,Payment_Number,""), "")</f>
        <v>116</v>
      </c>
      <c r="C133" s="395"/>
      <c r="D133" s="394">
        <f>IFERROR(IF(Loan_Not_Paid*Values_Entered,Beginning_Balance,""), "")</f>
        <v>174988631.33823457</v>
      </c>
      <c r="E133" s="394">
        <f>IFERROR(IF(Loan_Not_Paid*Values_Entered,Monthly_Payment,""), "")</f>
        <v>1291710.1497487591</v>
      </c>
      <c r="F133" s="394">
        <f>IFERROR(IF(Loan_Not_Paid*Values_Entered,Principal,""), "")</f>
        <v>343855.06333332433</v>
      </c>
      <c r="G133" s="394">
        <f>IFERROR(IF(Loan_Not_Paid*Values_Entered,Interest,""), "")</f>
        <v>947855.08641543484</v>
      </c>
      <c r="H133" s="394">
        <f>IFERROR(IF(Loan_Not_Paid*Values_Entered,Ending_Balance,""), "")</f>
        <v>174644776.27490124</v>
      </c>
    </row>
    <row r="134" spans="2:8">
      <c r="B134" s="396">
        <f>IFERROR(IF(Loan_Not_Paid*Values_Entered,Payment_Number,""), "")</f>
        <v>117</v>
      </c>
      <c r="C134" s="395"/>
      <c r="D134" s="394">
        <f>IFERROR(IF(Loan_Not_Paid*Values_Entered,Beginning_Balance,""), "")</f>
        <v>174644776.27490124</v>
      </c>
      <c r="E134" s="394">
        <f>IFERROR(IF(Loan_Not_Paid*Values_Entered,Monthly_Payment,""), "")</f>
        <v>1291710.1497487591</v>
      </c>
      <c r="F134" s="394">
        <f>IFERROR(IF(Loan_Not_Paid*Values_Entered,Principal,""), "")</f>
        <v>345717.61159304652</v>
      </c>
      <c r="G134" s="394">
        <f>IFERROR(IF(Loan_Not_Paid*Values_Entered,Interest,""), "")</f>
        <v>945992.53815571265</v>
      </c>
      <c r="H134" s="394">
        <f>IFERROR(IF(Loan_Not_Paid*Values_Entered,Ending_Balance,""), "")</f>
        <v>174299058.66330817</v>
      </c>
    </row>
    <row r="135" spans="2:8">
      <c r="B135" s="396">
        <f>IFERROR(IF(Loan_Not_Paid*Values_Entered,Payment_Number,""), "")</f>
        <v>118</v>
      </c>
      <c r="C135" s="395"/>
      <c r="D135" s="394">
        <f>IFERROR(IF(Loan_Not_Paid*Values_Entered,Beginning_Balance,""), "")</f>
        <v>174299058.66330817</v>
      </c>
      <c r="E135" s="394">
        <f>IFERROR(IF(Loan_Not_Paid*Values_Entered,Monthly_Payment,""), "")</f>
        <v>1291710.1497487591</v>
      </c>
      <c r="F135" s="394">
        <f>IFERROR(IF(Loan_Not_Paid*Values_Entered,Principal,""), "")</f>
        <v>347590.24865584215</v>
      </c>
      <c r="G135" s="394">
        <f>IFERROR(IF(Loan_Not_Paid*Values_Entered,Interest,""), "")</f>
        <v>944119.90109291684</v>
      </c>
      <c r="H135" s="394">
        <f>IFERROR(IF(Loan_Not_Paid*Values_Entered,Ending_Balance,""), "")</f>
        <v>173951468.41465235</v>
      </c>
    </row>
    <row r="136" spans="2:8">
      <c r="B136" s="396">
        <f>IFERROR(IF(Loan_Not_Paid*Values_Entered,Payment_Number,""), "")</f>
        <v>119</v>
      </c>
      <c r="C136" s="395"/>
      <c r="D136" s="394">
        <f>IFERROR(IF(Loan_Not_Paid*Values_Entered,Beginning_Balance,""), "")</f>
        <v>173951468.41465235</v>
      </c>
      <c r="E136" s="394">
        <f>IFERROR(IF(Loan_Not_Paid*Values_Entered,Monthly_Payment,""), "")</f>
        <v>1291710.1497487591</v>
      </c>
      <c r="F136" s="394">
        <f>IFERROR(IF(Loan_Not_Paid*Values_Entered,Principal,""), "")</f>
        <v>349473.02916939463</v>
      </c>
      <c r="G136" s="394">
        <f>IFERROR(IF(Loan_Not_Paid*Values_Entered,Interest,""), "")</f>
        <v>942237.12057936448</v>
      </c>
      <c r="H136" s="394">
        <f>IFERROR(IF(Loan_Not_Paid*Values_Entered,Ending_Balance,""), "")</f>
        <v>173601995.38548297</v>
      </c>
    </row>
    <row r="137" spans="2:8">
      <c r="B137" s="396">
        <f>IFERROR(IF(Loan_Not_Paid*Values_Entered,Payment_Number,""), "")</f>
        <v>120</v>
      </c>
      <c r="C137" s="395"/>
      <c r="D137" s="394">
        <f>IFERROR(IF(Loan_Not_Paid*Values_Entered,Beginning_Balance,""), "")</f>
        <v>173601995.38548297</v>
      </c>
      <c r="E137" s="394">
        <f>IFERROR(IF(Loan_Not_Paid*Values_Entered,Monthly_Payment,""), "")</f>
        <v>1291710.1497487591</v>
      </c>
      <c r="F137" s="394">
        <f>IFERROR(IF(Loan_Not_Paid*Values_Entered,Principal,""), "")</f>
        <v>351366.0080773955</v>
      </c>
      <c r="G137" s="394">
        <f>IFERROR(IF(Loan_Not_Paid*Values_Entered,Interest,""), "")</f>
        <v>940344.1416713635</v>
      </c>
      <c r="H137" s="394">
        <f>IFERROR(IF(Loan_Not_Paid*Values_Entered,Ending_Balance,""), "")</f>
        <v>173250629.37740555</v>
      </c>
    </row>
    <row r="138" spans="2:8">
      <c r="B138" s="396">
        <f>IFERROR(IF(Loan_Not_Paid*Values_Entered,Payment_Number,""), "")</f>
        <v>121</v>
      </c>
      <c r="C138" s="395"/>
      <c r="D138" s="394">
        <f>IFERROR(IF(Loan_Not_Paid*Values_Entered,Beginning_Balance,""), "")</f>
        <v>173250629.37740555</v>
      </c>
      <c r="E138" s="394">
        <f>IFERROR(IF(Loan_Not_Paid*Values_Entered,Monthly_Payment,""), "")</f>
        <v>1291710.1497487591</v>
      </c>
      <c r="F138" s="394">
        <f>IFERROR(IF(Loan_Not_Paid*Values_Entered,Principal,""), "")</f>
        <v>353269.24062114808</v>
      </c>
      <c r="G138" s="394">
        <f>IFERROR(IF(Loan_Not_Paid*Values_Entered,Interest,""), "")</f>
        <v>938440.90912761108</v>
      </c>
      <c r="H138" s="394">
        <f>IFERROR(IF(Loan_Not_Paid*Values_Entered,Ending_Balance,""), "")</f>
        <v>172897360.1367844</v>
      </c>
    </row>
    <row r="139" spans="2:8">
      <c r="B139" s="396">
        <f>IFERROR(IF(Loan_Not_Paid*Values_Entered,Payment_Number,""), "")</f>
        <v>122</v>
      </c>
      <c r="C139" s="395"/>
      <c r="D139" s="394">
        <f>IFERROR(IF(Loan_Not_Paid*Values_Entered,Beginning_Balance,""), "")</f>
        <v>172897360.1367844</v>
      </c>
      <c r="E139" s="394">
        <f>IFERROR(IF(Loan_Not_Paid*Values_Entered,Monthly_Payment,""), "")</f>
        <v>1291710.1497487591</v>
      </c>
      <c r="F139" s="394">
        <f>IFERROR(IF(Loan_Not_Paid*Values_Entered,Principal,""), "")</f>
        <v>355182.78234117926</v>
      </c>
      <c r="G139" s="394">
        <f>IFERROR(IF(Loan_Not_Paid*Values_Entered,Interest,""), "")</f>
        <v>936527.36740757979</v>
      </c>
      <c r="H139" s="394">
        <f>IFERROR(IF(Loan_Not_Paid*Values_Entered,Ending_Balance,""), "")</f>
        <v>172542177.35444328</v>
      </c>
    </row>
    <row r="140" spans="2:8">
      <c r="B140" s="396">
        <f>IFERROR(IF(Loan_Not_Paid*Values_Entered,Payment_Number,""), "")</f>
        <v>123</v>
      </c>
      <c r="C140" s="395"/>
      <c r="D140" s="394">
        <f>IFERROR(IF(Loan_Not_Paid*Values_Entered,Beginning_Balance,""), "")</f>
        <v>172542177.35444328</v>
      </c>
      <c r="E140" s="394">
        <f>IFERROR(IF(Loan_Not_Paid*Values_Entered,Monthly_Payment,""), "")</f>
        <v>1291710.1497487591</v>
      </c>
      <c r="F140" s="394">
        <f>IFERROR(IF(Loan_Not_Paid*Values_Entered,Principal,""), "")</f>
        <v>357106.68907886068</v>
      </c>
      <c r="G140" s="394">
        <f>IFERROR(IF(Loan_Not_Paid*Values_Entered,Interest,""), "")</f>
        <v>934603.46066989843</v>
      </c>
      <c r="H140" s="394">
        <f>IFERROR(IF(Loan_Not_Paid*Values_Entered,Ending_Balance,""), "")</f>
        <v>172185070.66536441</v>
      </c>
    </row>
    <row r="141" spans="2:8">
      <c r="B141" s="396">
        <f>IFERROR(IF(Loan_Not_Paid*Values_Entered,Payment_Number,""), "")</f>
        <v>124</v>
      </c>
      <c r="C141" s="395"/>
      <c r="D141" s="394">
        <f>IFERROR(IF(Loan_Not_Paid*Values_Entered,Beginning_Balance,""), "")</f>
        <v>172185070.66536441</v>
      </c>
      <c r="E141" s="394">
        <f>IFERROR(IF(Loan_Not_Paid*Values_Entered,Monthly_Payment,""), "")</f>
        <v>1291710.1497487591</v>
      </c>
      <c r="F141" s="394">
        <f>IFERROR(IF(Loan_Not_Paid*Values_Entered,Principal,""), "")</f>
        <v>359041.01697803783</v>
      </c>
      <c r="G141" s="394">
        <f>IFERROR(IF(Loan_Not_Paid*Values_Entered,Interest,""), "")</f>
        <v>932669.13277072133</v>
      </c>
      <c r="H141" s="394">
        <f>IFERROR(IF(Loan_Not_Paid*Values_Entered,Ending_Balance,""), "")</f>
        <v>171826029.64838636</v>
      </c>
    </row>
    <row r="142" spans="2:8">
      <c r="B142" s="396">
        <f>IFERROR(IF(Loan_Not_Paid*Values_Entered,Payment_Number,""), "")</f>
        <v>125</v>
      </c>
      <c r="C142" s="395"/>
      <c r="D142" s="394">
        <f>IFERROR(IF(Loan_Not_Paid*Values_Entered,Beginning_Balance,""), "")</f>
        <v>171826029.64838636</v>
      </c>
      <c r="E142" s="394">
        <f>IFERROR(IF(Loan_Not_Paid*Values_Entered,Monthly_Payment,""), "")</f>
        <v>1291710.1497487591</v>
      </c>
      <c r="F142" s="394">
        <f>IFERROR(IF(Loan_Not_Paid*Values_Entered,Principal,""), "")</f>
        <v>360985.82248666894</v>
      </c>
      <c r="G142" s="394">
        <f>IFERROR(IF(Loan_Not_Paid*Values_Entered,Interest,""), "")</f>
        <v>930724.32726209029</v>
      </c>
      <c r="H142" s="394">
        <f>IFERROR(IF(Loan_Not_Paid*Values_Entered,Ending_Balance,""), "")</f>
        <v>171465043.82589972</v>
      </c>
    </row>
    <row r="143" spans="2:8">
      <c r="B143" s="396">
        <f>IFERROR(IF(Loan_Not_Paid*Values_Entered,Payment_Number,""), "")</f>
        <v>126</v>
      </c>
      <c r="C143" s="395"/>
      <c r="D143" s="394">
        <f>IFERROR(IF(Loan_Not_Paid*Values_Entered,Beginning_Balance,""), "")</f>
        <v>171465043.82589972</v>
      </c>
      <c r="E143" s="394">
        <f>IFERROR(IF(Loan_Not_Paid*Values_Entered,Monthly_Payment,""), "")</f>
        <v>1291710.1497487591</v>
      </c>
      <c r="F143" s="394">
        <f>IFERROR(IF(Loan_Not_Paid*Values_Entered,Principal,""), "")</f>
        <v>362941.16235847172</v>
      </c>
      <c r="G143" s="394">
        <f>IFERROR(IF(Loan_Not_Paid*Values_Entered,Interest,""), "")</f>
        <v>928768.98739028722</v>
      </c>
      <c r="H143" s="394">
        <f>IFERROR(IF(Loan_Not_Paid*Values_Entered,Ending_Balance,""), "")</f>
        <v>171102102.6635412</v>
      </c>
    </row>
    <row r="144" spans="2:8">
      <c r="B144" s="396">
        <f>IFERROR(IF(Loan_Not_Paid*Values_Entered,Payment_Number,""), "")</f>
        <v>127</v>
      </c>
      <c r="C144" s="395"/>
      <c r="D144" s="394">
        <f>IFERROR(IF(Loan_Not_Paid*Values_Entered,Beginning_Balance,""), "")</f>
        <v>171102102.6635412</v>
      </c>
      <c r="E144" s="394">
        <f>IFERROR(IF(Loan_Not_Paid*Values_Entered,Monthly_Payment,""), "")</f>
        <v>1291710.1497487591</v>
      </c>
      <c r="F144" s="394">
        <f>IFERROR(IF(Loan_Not_Paid*Values_Entered,Principal,""), "")</f>
        <v>364907.09365458007</v>
      </c>
      <c r="G144" s="394">
        <f>IFERROR(IF(Loan_Not_Paid*Values_Entered,Interest,""), "")</f>
        <v>926803.05609417893</v>
      </c>
      <c r="H144" s="394">
        <f>IFERROR(IF(Loan_Not_Paid*Values_Entered,Ending_Balance,""), "")</f>
        <v>170737195.56988662</v>
      </c>
    </row>
    <row r="145" spans="2:8">
      <c r="B145" s="396">
        <f>IFERROR(IF(Loan_Not_Paid*Values_Entered,Payment_Number,""), "")</f>
        <v>128</v>
      </c>
      <c r="C145" s="395"/>
      <c r="D145" s="394">
        <f>IFERROR(IF(Loan_Not_Paid*Values_Entered,Beginning_Balance,""), "")</f>
        <v>170737195.56988662</v>
      </c>
      <c r="E145" s="394">
        <f>IFERROR(IF(Loan_Not_Paid*Values_Entered,Monthly_Payment,""), "")</f>
        <v>1291710.1497487591</v>
      </c>
      <c r="F145" s="394">
        <f>IFERROR(IF(Loan_Not_Paid*Values_Entered,Principal,""), "")</f>
        <v>366883.67374520912</v>
      </c>
      <c r="G145" s="394">
        <f>IFERROR(IF(Loan_Not_Paid*Values_Entered,Interest,""), "")</f>
        <v>924826.47600354999</v>
      </c>
      <c r="H145" s="394">
        <f>IFERROR(IF(Loan_Not_Paid*Values_Entered,Ending_Balance,""), "")</f>
        <v>170370311.89614147</v>
      </c>
    </row>
    <row r="146" spans="2:8">
      <c r="B146" s="396">
        <f>IFERROR(IF(Loan_Not_Paid*Values_Entered,Payment_Number,""), "")</f>
        <v>129</v>
      </c>
      <c r="C146" s="395"/>
      <c r="D146" s="394">
        <f>IFERROR(IF(Loan_Not_Paid*Values_Entered,Beginning_Balance,""), "")</f>
        <v>170370311.89614147</v>
      </c>
      <c r="E146" s="394">
        <f>IFERROR(IF(Loan_Not_Paid*Values_Entered,Monthly_Payment,""), "")</f>
        <v>1291710.1497487591</v>
      </c>
      <c r="F146" s="394">
        <f>IFERROR(IF(Loan_Not_Paid*Values_Entered,Principal,""), "")</f>
        <v>368870.96031132893</v>
      </c>
      <c r="G146" s="394">
        <f>IFERROR(IF(Loan_Not_Paid*Values_Entered,Interest,""), "")</f>
        <v>922839.18943743012</v>
      </c>
      <c r="H146" s="394">
        <f>IFERROR(IF(Loan_Not_Paid*Values_Entered,Ending_Balance,""), "")</f>
        <v>170001440.93583018</v>
      </c>
    </row>
    <row r="147" spans="2:8">
      <c r="B147" s="396">
        <f>IFERROR(IF(Loan_Not_Paid*Values_Entered,Payment_Number,""), "")</f>
        <v>130</v>
      </c>
      <c r="C147" s="395"/>
      <c r="D147" s="394">
        <f>IFERROR(IF(Loan_Not_Paid*Values_Entered,Beginning_Balance,""), "")</f>
        <v>170001440.93583018</v>
      </c>
      <c r="E147" s="394">
        <f>IFERROR(IF(Loan_Not_Paid*Values_Entered,Monthly_Payment,""), "")</f>
        <v>1291710.1497487591</v>
      </c>
      <c r="F147" s="394">
        <f>IFERROR(IF(Loan_Not_Paid*Values_Entered,Principal,""), "")</f>
        <v>370869.01134634862</v>
      </c>
      <c r="G147" s="394">
        <f>IFERROR(IF(Loan_Not_Paid*Values_Entered,Interest,""), "")</f>
        <v>920841.13840241043</v>
      </c>
      <c r="H147" s="394">
        <f>IFERROR(IF(Loan_Not_Paid*Values_Entered,Ending_Balance,""), "")</f>
        <v>169630571.92448378</v>
      </c>
    </row>
    <row r="148" spans="2:8">
      <c r="B148" s="396">
        <f>IFERROR(IF(Loan_Not_Paid*Values_Entered,Payment_Number,""), "")</f>
        <v>131</v>
      </c>
      <c r="C148" s="395"/>
      <c r="D148" s="394">
        <f>IFERROR(IF(Loan_Not_Paid*Values_Entered,Beginning_Balance,""), "")</f>
        <v>169630571.92448378</v>
      </c>
      <c r="E148" s="394">
        <f>IFERROR(IF(Loan_Not_Paid*Values_Entered,Monthly_Payment,""), "")</f>
        <v>1291710.1497487591</v>
      </c>
      <c r="F148" s="394">
        <f>IFERROR(IF(Loan_Not_Paid*Values_Entered,Principal,""), "")</f>
        <v>372877.88515780802</v>
      </c>
      <c r="G148" s="394">
        <f>IFERROR(IF(Loan_Not_Paid*Values_Entered,Interest,""), "")</f>
        <v>918832.26459095103</v>
      </c>
      <c r="H148" s="394">
        <f>IFERROR(IF(Loan_Not_Paid*Values_Entered,Ending_Balance,""), "")</f>
        <v>169257694.03932601</v>
      </c>
    </row>
    <row r="149" spans="2:8">
      <c r="B149" s="396">
        <f>IFERROR(IF(Loan_Not_Paid*Values_Entered,Payment_Number,""), "")</f>
        <v>132</v>
      </c>
      <c r="C149" s="395"/>
      <c r="D149" s="394">
        <f>IFERROR(IF(Loan_Not_Paid*Values_Entered,Beginning_Balance,""), "")</f>
        <v>169257694.03932601</v>
      </c>
      <c r="E149" s="394">
        <f>IFERROR(IF(Loan_Not_Paid*Values_Entered,Monthly_Payment,""), "")</f>
        <v>1291710.1497487591</v>
      </c>
      <c r="F149" s="394">
        <f>IFERROR(IF(Loan_Not_Paid*Values_Entered,Principal,""), "")</f>
        <v>374897.64036907942</v>
      </c>
      <c r="G149" s="394">
        <f>IFERROR(IF(Loan_Not_Paid*Values_Entered,Interest,""), "")</f>
        <v>916812.50937967969</v>
      </c>
      <c r="H149" s="394">
        <f>IFERROR(IF(Loan_Not_Paid*Values_Entered,Ending_Balance,""), "")</f>
        <v>168882796.39895695</v>
      </c>
    </row>
    <row r="150" spans="2:8">
      <c r="B150" s="396">
        <f>IFERROR(IF(Loan_Not_Paid*Values_Entered,Payment_Number,""), "")</f>
        <v>133</v>
      </c>
      <c r="C150" s="395"/>
      <c r="D150" s="394">
        <f>IFERROR(IF(Loan_Not_Paid*Values_Entered,Beginning_Balance,""), "")</f>
        <v>168882796.39895695</v>
      </c>
      <c r="E150" s="394">
        <f>IFERROR(IF(Loan_Not_Paid*Values_Entered,Monthly_Payment,""), "")</f>
        <v>1291710.1497487591</v>
      </c>
      <c r="F150" s="394">
        <f>IFERROR(IF(Loan_Not_Paid*Values_Entered,Principal,""), "")</f>
        <v>376928.33592107863</v>
      </c>
      <c r="G150" s="394">
        <f>IFERROR(IF(Loan_Not_Paid*Values_Entered,Interest,""), "")</f>
        <v>914781.81382768042</v>
      </c>
      <c r="H150" s="394">
        <f>IFERROR(IF(Loan_Not_Paid*Values_Entered,Ending_Balance,""), "")</f>
        <v>168505868.06303585</v>
      </c>
    </row>
    <row r="151" spans="2:8">
      <c r="B151" s="396">
        <f>IFERROR(IF(Loan_Not_Paid*Values_Entered,Payment_Number,""), "")</f>
        <v>134</v>
      </c>
      <c r="C151" s="395"/>
      <c r="D151" s="394">
        <f>IFERROR(IF(Loan_Not_Paid*Values_Entered,Beginning_Balance,""), "")</f>
        <v>168505868.06303585</v>
      </c>
      <c r="E151" s="394">
        <f>IFERROR(IF(Loan_Not_Paid*Values_Entered,Monthly_Payment,""), "")</f>
        <v>1291710.1497487591</v>
      </c>
      <c r="F151" s="394">
        <f>IFERROR(IF(Loan_Not_Paid*Values_Entered,Principal,""), "")</f>
        <v>378970.03107398446</v>
      </c>
      <c r="G151" s="394">
        <f>IFERROR(IF(Loan_Not_Paid*Values_Entered,Interest,""), "")</f>
        <v>912740.11867477465</v>
      </c>
      <c r="H151" s="394">
        <f>IFERROR(IF(Loan_Not_Paid*Values_Entered,Ending_Balance,""), "")</f>
        <v>168126898.03196189</v>
      </c>
    </row>
    <row r="152" spans="2:8">
      <c r="B152" s="396">
        <f>IFERROR(IF(Loan_Not_Paid*Values_Entered,Payment_Number,""), "")</f>
        <v>135</v>
      </c>
      <c r="C152" s="395"/>
      <c r="D152" s="394">
        <f>IFERROR(IF(Loan_Not_Paid*Values_Entered,Beginning_Balance,""), "")</f>
        <v>168126898.03196189</v>
      </c>
      <c r="E152" s="394">
        <f>IFERROR(IF(Loan_Not_Paid*Values_Entered,Monthly_Payment,""), "")</f>
        <v>1291710.1497487591</v>
      </c>
      <c r="F152" s="394">
        <f>IFERROR(IF(Loan_Not_Paid*Values_Entered,Principal,""), "")</f>
        <v>381022.78540896869</v>
      </c>
      <c r="G152" s="394">
        <f>IFERROR(IF(Loan_Not_Paid*Values_Entered,Interest,""), "")</f>
        <v>910687.36433979031</v>
      </c>
      <c r="H152" s="394">
        <f>IFERROR(IF(Loan_Not_Paid*Values_Entered,Ending_Balance,""), "")</f>
        <v>167745875.24655291</v>
      </c>
    </row>
    <row r="153" spans="2:8">
      <c r="B153" s="396">
        <f>IFERROR(IF(Loan_Not_Paid*Values_Entered,Payment_Number,""), "")</f>
        <v>136</v>
      </c>
      <c r="C153" s="395"/>
      <c r="D153" s="394">
        <f>IFERROR(IF(Loan_Not_Paid*Values_Entered,Beginning_Balance,""), "")</f>
        <v>167745875.24655291</v>
      </c>
      <c r="E153" s="394">
        <f>IFERROR(IF(Loan_Not_Paid*Values_Entered,Monthly_Payment,""), "")</f>
        <v>1291710.1497487591</v>
      </c>
      <c r="F153" s="394">
        <f>IFERROR(IF(Loan_Not_Paid*Values_Entered,Principal,""), "")</f>
        <v>383086.65882993385</v>
      </c>
      <c r="G153" s="394">
        <f>IFERROR(IF(Loan_Not_Paid*Values_Entered,Interest,""), "")</f>
        <v>908623.49091882526</v>
      </c>
      <c r="H153" s="394">
        <f>IFERROR(IF(Loan_Not_Paid*Values_Entered,Ending_Balance,""), "")</f>
        <v>167362788.58772302</v>
      </c>
    </row>
    <row r="154" spans="2:8">
      <c r="B154" s="396">
        <f>IFERROR(IF(Loan_Not_Paid*Values_Entered,Payment_Number,""), "")</f>
        <v>137</v>
      </c>
      <c r="C154" s="395"/>
      <c r="D154" s="394">
        <f>IFERROR(IF(Loan_Not_Paid*Values_Entered,Beginning_Balance,""), "")</f>
        <v>167362788.58772302</v>
      </c>
      <c r="E154" s="394">
        <f>IFERROR(IF(Loan_Not_Paid*Values_Entered,Monthly_Payment,""), "")</f>
        <v>1291710.1497487591</v>
      </c>
      <c r="F154" s="394">
        <f>IFERROR(IF(Loan_Not_Paid*Values_Entered,Principal,""), "")</f>
        <v>385161.71156526264</v>
      </c>
      <c r="G154" s="394">
        <f>IFERROR(IF(Loan_Not_Paid*Values_Entered,Interest,""), "")</f>
        <v>906548.43818349647</v>
      </c>
      <c r="H154" s="394">
        <f>IFERROR(IF(Loan_Not_Paid*Values_Entered,Ending_Balance,""), "")</f>
        <v>166977626.8761577</v>
      </c>
    </row>
    <row r="155" spans="2:8">
      <c r="B155" s="396">
        <f>IFERROR(IF(Loan_Not_Paid*Values_Entered,Payment_Number,""), "")</f>
        <v>138</v>
      </c>
      <c r="C155" s="395"/>
      <c r="D155" s="394">
        <f>IFERROR(IF(Loan_Not_Paid*Values_Entered,Beginning_Balance,""), "")</f>
        <v>166977626.8761577</v>
      </c>
      <c r="E155" s="394">
        <f>IFERROR(IF(Loan_Not_Paid*Values_Entered,Monthly_Payment,""), "")</f>
        <v>1291710.1497487591</v>
      </c>
      <c r="F155" s="394">
        <f>IFERROR(IF(Loan_Not_Paid*Values_Entered,Principal,""), "")</f>
        <v>387248.00416957453</v>
      </c>
      <c r="G155" s="394">
        <f>IFERROR(IF(Loan_Not_Paid*Values_Entered,Interest,""), "")</f>
        <v>904462.14557918464</v>
      </c>
      <c r="H155" s="394">
        <f>IFERROR(IF(Loan_Not_Paid*Values_Entered,Ending_Balance,""), "")</f>
        <v>166590378.87198815</v>
      </c>
    </row>
    <row r="156" spans="2:8">
      <c r="B156" s="396">
        <f>IFERROR(IF(Loan_Not_Paid*Values_Entered,Payment_Number,""), "")</f>
        <v>139</v>
      </c>
      <c r="C156" s="395"/>
      <c r="D156" s="394">
        <f>IFERROR(IF(Loan_Not_Paid*Values_Entered,Beginning_Balance,""), "")</f>
        <v>166590378.87198815</v>
      </c>
      <c r="E156" s="394">
        <f>IFERROR(IF(Loan_Not_Paid*Values_Entered,Monthly_Payment,""), "")</f>
        <v>1291710.1497487591</v>
      </c>
      <c r="F156" s="394">
        <f>IFERROR(IF(Loan_Not_Paid*Values_Entered,Principal,""), "")</f>
        <v>389345.59752549301</v>
      </c>
      <c r="G156" s="394">
        <f>IFERROR(IF(Loan_Not_Paid*Values_Entered,Interest,""), "")</f>
        <v>902364.5522232661</v>
      </c>
      <c r="H156" s="394">
        <f>IFERROR(IF(Loan_Not_Paid*Values_Entered,Ending_Balance,""), "")</f>
        <v>166201033.2744627</v>
      </c>
    </row>
    <row r="157" spans="2:8">
      <c r="B157" s="396">
        <f>IFERROR(IF(Loan_Not_Paid*Values_Entered,Payment_Number,""), "")</f>
        <v>140</v>
      </c>
      <c r="C157" s="395"/>
      <c r="D157" s="394">
        <f>IFERROR(IF(Loan_Not_Paid*Values_Entered,Beginning_Balance,""), "")</f>
        <v>166201033.2744627</v>
      </c>
      <c r="E157" s="394">
        <f>IFERROR(IF(Loan_Not_Paid*Values_Entered,Monthly_Payment,""), "")</f>
        <v>1291710.1497487591</v>
      </c>
      <c r="F157" s="394">
        <f>IFERROR(IF(Loan_Not_Paid*Values_Entered,Principal,""), "")</f>
        <v>391454.55284542282</v>
      </c>
      <c r="G157" s="394">
        <f>IFERROR(IF(Loan_Not_Paid*Values_Entered,Interest,""), "")</f>
        <v>900255.59690333647</v>
      </c>
      <c r="H157" s="394">
        <f>IFERROR(IF(Loan_Not_Paid*Values_Entered,Ending_Balance,""), "")</f>
        <v>165809578.72161728</v>
      </c>
    </row>
    <row r="158" spans="2:8">
      <c r="B158" s="396">
        <f>IFERROR(IF(Loan_Not_Paid*Values_Entered,Payment_Number,""), "")</f>
        <v>141</v>
      </c>
      <c r="C158" s="395"/>
      <c r="D158" s="394">
        <f>IFERROR(IF(Loan_Not_Paid*Values_Entered,Beginning_Balance,""), "")</f>
        <v>165809578.72161728</v>
      </c>
      <c r="E158" s="394">
        <f>IFERROR(IF(Loan_Not_Paid*Values_Entered,Monthly_Payment,""), "")</f>
        <v>1291710.1497487591</v>
      </c>
      <c r="F158" s="394">
        <f>IFERROR(IF(Loan_Not_Paid*Values_Entered,Principal,""), "")</f>
        <v>393574.93167333549</v>
      </c>
      <c r="G158" s="394">
        <f>IFERROR(IF(Loan_Not_Paid*Values_Entered,Interest,""), "")</f>
        <v>898135.21807542362</v>
      </c>
      <c r="H158" s="394">
        <f>IFERROR(IF(Loan_Not_Paid*Values_Entered,Ending_Balance,""), "")</f>
        <v>165416003.78994393</v>
      </c>
    </row>
    <row r="159" spans="2:8">
      <c r="B159" s="396">
        <f>IFERROR(IF(Loan_Not_Paid*Values_Entered,Payment_Number,""), "")</f>
        <v>142</v>
      </c>
      <c r="C159" s="395"/>
      <c r="D159" s="394">
        <f>IFERROR(IF(Loan_Not_Paid*Values_Entered,Beginning_Balance,""), "")</f>
        <v>165416003.78994393</v>
      </c>
      <c r="E159" s="394">
        <f>IFERROR(IF(Loan_Not_Paid*Values_Entered,Monthly_Payment,""), "")</f>
        <v>1291710.1497487591</v>
      </c>
      <c r="F159" s="394">
        <f>IFERROR(IF(Loan_Not_Paid*Values_Entered,Principal,""), "")</f>
        <v>395706.79588656599</v>
      </c>
      <c r="G159" s="394">
        <f>IFERROR(IF(Loan_Not_Paid*Values_Entered,Interest,""), "")</f>
        <v>896003.35386219306</v>
      </c>
      <c r="H159" s="394">
        <f>IFERROR(IF(Loan_Not_Paid*Values_Entered,Ending_Balance,""), "")</f>
        <v>165020296.99405736</v>
      </c>
    </row>
    <row r="160" spans="2:8">
      <c r="B160" s="396">
        <f>IFERROR(IF(Loan_Not_Paid*Values_Entered,Payment_Number,""), "")</f>
        <v>143</v>
      </c>
      <c r="C160" s="395"/>
      <c r="D160" s="394">
        <f>IFERROR(IF(Loan_Not_Paid*Values_Entered,Beginning_Balance,""), "")</f>
        <v>165020296.99405736</v>
      </c>
      <c r="E160" s="394">
        <f>IFERROR(IF(Loan_Not_Paid*Values_Entered,Monthly_Payment,""), "")</f>
        <v>1291710.1497487591</v>
      </c>
      <c r="F160" s="394">
        <f>IFERROR(IF(Loan_Not_Paid*Values_Entered,Principal,""), "")</f>
        <v>397850.20769761829</v>
      </c>
      <c r="G160" s="394">
        <f>IFERROR(IF(Loan_Not_Paid*Values_Entered,Interest,""), "")</f>
        <v>893859.94205114082</v>
      </c>
      <c r="H160" s="394">
        <f>IFERROR(IF(Loan_Not_Paid*Values_Entered,Ending_Balance,""), "")</f>
        <v>164622446.78635979</v>
      </c>
    </row>
    <row r="161" spans="2:8">
      <c r="B161" s="396">
        <f>IFERROR(IF(Loan_Not_Paid*Values_Entered,Payment_Number,""), "")</f>
        <v>144</v>
      </c>
      <c r="C161" s="395"/>
      <c r="D161" s="394">
        <f>IFERROR(IF(Loan_Not_Paid*Values_Entered,Beginning_Balance,""), "")</f>
        <v>164622446.78635979</v>
      </c>
      <c r="E161" s="394">
        <f>IFERROR(IF(Loan_Not_Paid*Values_Entered,Monthly_Payment,""), "")</f>
        <v>1291710.1497487591</v>
      </c>
      <c r="F161" s="394">
        <f>IFERROR(IF(Loan_Not_Paid*Values_Entered,Principal,""), "")</f>
        <v>400005.22965598037</v>
      </c>
      <c r="G161" s="394">
        <f>IFERROR(IF(Loan_Not_Paid*Values_Entered,Interest,""), "")</f>
        <v>891704.92009277863</v>
      </c>
      <c r="H161" s="394">
        <f>IFERROR(IF(Loan_Not_Paid*Values_Entered,Ending_Balance,""), "")</f>
        <v>164222441.55670381</v>
      </c>
    </row>
    <row r="162" spans="2:8">
      <c r="B162" s="396">
        <f>IFERROR(IF(Loan_Not_Paid*Values_Entered,Payment_Number,""), "")</f>
        <v>145</v>
      </c>
      <c r="C162" s="395"/>
      <c r="D162" s="394">
        <f>IFERROR(IF(Loan_Not_Paid*Values_Entered,Beginning_Balance,""), "")</f>
        <v>164222441.55670381</v>
      </c>
      <c r="E162" s="394">
        <f>IFERROR(IF(Loan_Not_Paid*Values_Entered,Monthly_Payment,""), "")</f>
        <v>1291710.1497487591</v>
      </c>
      <c r="F162" s="394">
        <f>IFERROR(IF(Loan_Not_Paid*Values_Entered,Principal,""), "")</f>
        <v>402171.92464995023</v>
      </c>
      <c r="G162" s="394">
        <f>IFERROR(IF(Loan_Not_Paid*Values_Entered,Interest,""), "")</f>
        <v>889538.22509880876</v>
      </c>
      <c r="H162" s="394">
        <f>IFERROR(IF(Loan_Not_Paid*Values_Entered,Ending_Balance,""), "")</f>
        <v>163820269.63205391</v>
      </c>
    </row>
    <row r="163" spans="2:8">
      <c r="B163" s="396">
        <f>IFERROR(IF(Loan_Not_Paid*Values_Entered,Payment_Number,""), "")</f>
        <v>146</v>
      </c>
      <c r="C163" s="395"/>
      <c r="D163" s="394">
        <f>IFERROR(IF(Loan_Not_Paid*Values_Entered,Beginning_Balance,""), "")</f>
        <v>163820269.63205391</v>
      </c>
      <c r="E163" s="394">
        <f>IFERROR(IF(Loan_Not_Paid*Values_Entered,Monthly_Payment,""), "")</f>
        <v>1291710.1497487591</v>
      </c>
      <c r="F163" s="394">
        <f>IFERROR(IF(Loan_Not_Paid*Values_Entered,Principal,""), "")</f>
        <v>404350.35590847093</v>
      </c>
      <c r="G163" s="394">
        <f>IFERROR(IF(Loan_Not_Paid*Values_Entered,Interest,""), "")</f>
        <v>887359.79384028818</v>
      </c>
      <c r="H163" s="394">
        <f>IFERROR(IF(Loan_Not_Paid*Values_Entered,Ending_Balance,""), "")</f>
        <v>163415919.27614534</v>
      </c>
    </row>
    <row r="164" spans="2:8">
      <c r="B164" s="396">
        <f>IFERROR(IF(Loan_Not_Paid*Values_Entered,Payment_Number,""), "")</f>
        <v>147</v>
      </c>
      <c r="C164" s="395"/>
      <c r="D164" s="394">
        <f>IFERROR(IF(Loan_Not_Paid*Values_Entered,Beginning_Balance,""), "")</f>
        <v>163415919.27614534</v>
      </c>
      <c r="E164" s="394">
        <f>IFERROR(IF(Loan_Not_Paid*Values_Entered,Monthly_Payment,""), "")</f>
        <v>1291710.1497487591</v>
      </c>
      <c r="F164" s="394">
        <f>IFERROR(IF(Loan_Not_Paid*Values_Entered,Principal,""), "")</f>
        <v>406540.58700297505</v>
      </c>
      <c r="G164" s="394">
        <f>IFERROR(IF(Loan_Not_Paid*Values_Entered,Interest,""), "")</f>
        <v>885169.56274578418</v>
      </c>
      <c r="H164" s="394">
        <f>IFERROR(IF(Loan_Not_Paid*Values_Entered,Ending_Balance,""), "")</f>
        <v>163009378.68914247</v>
      </c>
    </row>
    <row r="165" spans="2:8">
      <c r="B165" s="396">
        <f>IFERROR(IF(Loan_Not_Paid*Values_Entered,Payment_Number,""), "")</f>
        <v>148</v>
      </c>
      <c r="C165" s="395"/>
      <c r="D165" s="394">
        <f>IFERROR(IF(Loan_Not_Paid*Values_Entered,Beginning_Balance,""), "")</f>
        <v>163009378.68914247</v>
      </c>
      <c r="E165" s="394">
        <f>IFERROR(IF(Loan_Not_Paid*Values_Entered,Monthly_Payment,""), "")</f>
        <v>1291710.1497487591</v>
      </c>
      <c r="F165" s="394">
        <f>IFERROR(IF(Loan_Not_Paid*Values_Entered,Principal,""), "")</f>
        <v>408742.6818492412</v>
      </c>
      <c r="G165" s="394">
        <f>IFERROR(IF(Loan_Not_Paid*Values_Entered,Interest,""), "")</f>
        <v>882967.46789951797</v>
      </c>
      <c r="H165" s="394">
        <f>IFERROR(IF(Loan_Not_Paid*Values_Entered,Ending_Balance,""), "")</f>
        <v>162600636.00729322</v>
      </c>
    </row>
    <row r="166" spans="2:8">
      <c r="B166" s="396">
        <f>IFERROR(IF(Loan_Not_Paid*Values_Entered,Payment_Number,""), "")</f>
        <v>149</v>
      </c>
      <c r="C166" s="395"/>
      <c r="D166" s="394">
        <f>IFERROR(IF(Loan_Not_Paid*Values_Entered,Beginning_Balance,""), "")</f>
        <v>162600636.00729322</v>
      </c>
      <c r="E166" s="394">
        <f>IFERROR(IF(Loan_Not_Paid*Values_Entered,Monthly_Payment,""), "")</f>
        <v>1291710.1497487591</v>
      </c>
      <c r="F166" s="394">
        <f>IFERROR(IF(Loan_Not_Paid*Values_Entered,Principal,""), "")</f>
        <v>410956.70470925787</v>
      </c>
      <c r="G166" s="394">
        <f>IFERROR(IF(Loan_Not_Paid*Values_Entered,Interest,""), "")</f>
        <v>880753.4450395013</v>
      </c>
      <c r="H166" s="394">
        <f>IFERROR(IF(Loan_Not_Paid*Values_Entered,Ending_Balance,""), "")</f>
        <v>162189679.30258399</v>
      </c>
    </row>
    <row r="167" spans="2:8">
      <c r="B167" s="396">
        <f>IFERROR(IF(Loan_Not_Paid*Values_Entered,Payment_Number,""), "")</f>
        <v>150</v>
      </c>
      <c r="C167" s="395"/>
      <c r="D167" s="394">
        <f>IFERROR(IF(Loan_Not_Paid*Values_Entered,Beginning_Balance,""), "")</f>
        <v>162189679.30258399</v>
      </c>
      <c r="E167" s="394">
        <f>IFERROR(IF(Loan_Not_Paid*Values_Entered,Monthly_Payment,""), "")</f>
        <v>1291710.1497487591</v>
      </c>
      <c r="F167" s="394">
        <f>IFERROR(IF(Loan_Not_Paid*Values_Entered,Principal,""), "")</f>
        <v>413182.72019309975</v>
      </c>
      <c r="G167" s="394">
        <f>IFERROR(IF(Loan_Not_Paid*Values_Entered,Interest,""), "")</f>
        <v>878527.42955565942</v>
      </c>
      <c r="H167" s="394">
        <f>IFERROR(IF(Loan_Not_Paid*Values_Entered,Ending_Balance,""), "")</f>
        <v>161776496.5823909</v>
      </c>
    </row>
    <row r="168" spans="2:8">
      <c r="B168" s="396">
        <f>IFERROR(IF(Loan_Not_Paid*Values_Entered,Payment_Number,""), "")</f>
        <v>151</v>
      </c>
      <c r="C168" s="395"/>
      <c r="D168" s="394">
        <f>IFERROR(IF(Loan_Not_Paid*Values_Entered,Beginning_Balance,""), "")</f>
        <v>161776496.5823909</v>
      </c>
      <c r="E168" s="394">
        <f>IFERROR(IF(Loan_Not_Paid*Values_Entered,Monthly_Payment,""), "")</f>
        <v>1291710.1497487591</v>
      </c>
      <c r="F168" s="394">
        <f>IFERROR(IF(Loan_Not_Paid*Values_Entered,Principal,""), "")</f>
        <v>415420.79326081229</v>
      </c>
      <c r="G168" s="394">
        <f>IFERROR(IF(Loan_Not_Paid*Values_Entered,Interest,""), "")</f>
        <v>876289.35648794693</v>
      </c>
      <c r="H168" s="394">
        <f>IFERROR(IF(Loan_Not_Paid*Values_Entered,Ending_Balance,""), "")</f>
        <v>161361075.78913003</v>
      </c>
    </row>
    <row r="169" spans="2:8">
      <c r="B169" s="396">
        <f>IFERROR(IF(Loan_Not_Paid*Values_Entered,Payment_Number,""), "")</f>
        <v>152</v>
      </c>
      <c r="C169" s="395"/>
      <c r="D169" s="394">
        <f>IFERROR(IF(Loan_Not_Paid*Values_Entered,Beginning_Balance,""), "")</f>
        <v>161361075.78913003</v>
      </c>
      <c r="E169" s="394">
        <f>IFERROR(IF(Loan_Not_Paid*Values_Entered,Monthly_Payment,""), "")</f>
        <v>1291710.1497487591</v>
      </c>
      <c r="F169" s="394">
        <f>IFERROR(IF(Loan_Not_Paid*Values_Entered,Principal,""), "")</f>
        <v>417670.98922430835</v>
      </c>
      <c r="G169" s="394">
        <f>IFERROR(IF(Loan_Not_Paid*Values_Entered,Interest,""), "")</f>
        <v>874039.16052445071</v>
      </c>
      <c r="H169" s="394">
        <f>IFERROR(IF(Loan_Not_Paid*Values_Entered,Ending_Balance,""), "")</f>
        <v>160943404.79990572</v>
      </c>
    </row>
    <row r="170" spans="2:8">
      <c r="B170" s="396">
        <f>IFERROR(IF(Loan_Not_Paid*Values_Entered,Payment_Number,""), "")</f>
        <v>153</v>
      </c>
      <c r="C170" s="395"/>
      <c r="D170" s="394">
        <f>IFERROR(IF(Loan_Not_Paid*Values_Entered,Beginning_Balance,""), "")</f>
        <v>160943404.79990572</v>
      </c>
      <c r="E170" s="394">
        <f>IFERROR(IF(Loan_Not_Paid*Values_Entered,Monthly_Payment,""), "")</f>
        <v>1291710.1497487591</v>
      </c>
      <c r="F170" s="394">
        <f>IFERROR(IF(Loan_Not_Paid*Values_Entered,Principal,""), "")</f>
        <v>419933.37374927342</v>
      </c>
      <c r="G170" s="394">
        <f>IFERROR(IF(Loan_Not_Paid*Values_Entered,Interest,""), "")</f>
        <v>871776.77599948575</v>
      </c>
      <c r="H170" s="394">
        <f>IFERROR(IF(Loan_Not_Paid*Values_Entered,Ending_Balance,""), "")</f>
        <v>160523471.42615646</v>
      </c>
    </row>
    <row r="171" spans="2:8">
      <c r="B171" s="396">
        <f>IFERROR(IF(Loan_Not_Paid*Values_Entered,Payment_Number,""), "")</f>
        <v>154</v>
      </c>
      <c r="C171" s="395"/>
      <c r="D171" s="394">
        <f>IFERROR(IF(Loan_Not_Paid*Values_Entered,Beginning_Balance,""), "")</f>
        <v>160523471.42615646</v>
      </c>
      <c r="E171" s="394">
        <f>IFERROR(IF(Loan_Not_Paid*Values_Entered,Monthly_Payment,""), "")</f>
        <v>1291710.1497487591</v>
      </c>
      <c r="F171" s="394">
        <f>IFERROR(IF(Loan_Not_Paid*Values_Entered,Principal,""), "")</f>
        <v>422208.01285708195</v>
      </c>
      <c r="G171" s="394">
        <f>IFERROR(IF(Loan_Not_Paid*Values_Entered,Interest,""), "")</f>
        <v>869502.13689167716</v>
      </c>
      <c r="H171" s="394">
        <f>IFERROR(IF(Loan_Not_Paid*Values_Entered,Ending_Balance,""), "")</f>
        <v>160101263.41329938</v>
      </c>
    </row>
    <row r="172" spans="2:8">
      <c r="B172" s="396">
        <f>IFERROR(IF(Loan_Not_Paid*Values_Entered,Payment_Number,""), "")</f>
        <v>155</v>
      </c>
      <c r="C172" s="395"/>
      <c r="D172" s="394">
        <f>IFERROR(IF(Loan_Not_Paid*Values_Entered,Beginning_Balance,""), "")</f>
        <v>160101263.41329938</v>
      </c>
      <c r="E172" s="394">
        <f>IFERROR(IF(Loan_Not_Paid*Values_Entered,Monthly_Payment,""), "")</f>
        <v>1291710.1497487591</v>
      </c>
      <c r="F172" s="394">
        <f>IFERROR(IF(Loan_Not_Paid*Values_Entered,Principal,""), "")</f>
        <v>424494.97292672453</v>
      </c>
      <c r="G172" s="394">
        <f>IFERROR(IF(Loan_Not_Paid*Values_Entered,Interest,""), "")</f>
        <v>867215.17682203464</v>
      </c>
      <c r="H172" s="394">
        <f>IFERROR(IF(Loan_Not_Paid*Values_Entered,Ending_Balance,""), "")</f>
        <v>159676768.44037271</v>
      </c>
    </row>
    <row r="173" spans="2:8">
      <c r="B173" s="396">
        <f>IFERROR(IF(Loan_Not_Paid*Values_Entered,Payment_Number,""), "")</f>
        <v>156</v>
      </c>
      <c r="C173" s="395"/>
      <c r="D173" s="394">
        <f>IFERROR(IF(Loan_Not_Paid*Values_Entered,Beginning_Balance,""), "")</f>
        <v>159676768.44037271</v>
      </c>
      <c r="E173" s="394">
        <f>IFERROR(IF(Loan_Not_Paid*Values_Entered,Monthly_Payment,""), "")</f>
        <v>1291710.1497487591</v>
      </c>
      <c r="F173" s="394">
        <f>IFERROR(IF(Loan_Not_Paid*Values_Entered,Principal,""), "")</f>
        <v>426794.32069674419</v>
      </c>
      <c r="G173" s="394">
        <f>IFERROR(IF(Loan_Not_Paid*Values_Entered,Interest,""), "")</f>
        <v>864915.82905201486</v>
      </c>
      <c r="H173" s="394">
        <f>IFERROR(IF(Loan_Not_Paid*Values_Entered,Ending_Balance,""), "")</f>
        <v>159249974.11967593</v>
      </c>
    </row>
    <row r="174" spans="2:8">
      <c r="B174" s="396">
        <f>IFERROR(IF(Loan_Not_Paid*Values_Entered,Payment_Number,""), "")</f>
        <v>157</v>
      </c>
      <c r="C174" s="395"/>
      <c r="D174" s="394">
        <f>IFERROR(IF(Loan_Not_Paid*Values_Entered,Beginning_Balance,""), "")</f>
        <v>159249974.11967593</v>
      </c>
      <c r="E174" s="394">
        <f>IFERROR(IF(Loan_Not_Paid*Values_Entered,Monthly_Payment,""), "")</f>
        <v>1291710.1497487591</v>
      </c>
      <c r="F174" s="394">
        <f>IFERROR(IF(Loan_Not_Paid*Values_Entered,Principal,""), "")</f>
        <v>429106.12326718488</v>
      </c>
      <c r="G174" s="394">
        <f>IFERROR(IF(Loan_Not_Paid*Values_Entered,Interest,""), "")</f>
        <v>862604.02648157417</v>
      </c>
      <c r="H174" s="394">
        <f>IFERROR(IF(Loan_Not_Paid*Values_Entered,Ending_Balance,""), "")</f>
        <v>158820867.99640882</v>
      </c>
    </row>
    <row r="175" spans="2:8">
      <c r="B175" s="396">
        <f>IFERROR(IF(Loan_Not_Paid*Values_Entered,Payment_Number,""), "")</f>
        <v>158</v>
      </c>
      <c r="C175" s="395"/>
      <c r="D175" s="394">
        <f>IFERROR(IF(Loan_Not_Paid*Values_Entered,Beginning_Balance,""), "")</f>
        <v>158820867.99640882</v>
      </c>
      <c r="E175" s="394">
        <f>IFERROR(IF(Loan_Not_Paid*Values_Entered,Monthly_Payment,""), "")</f>
        <v>1291710.1497487591</v>
      </c>
      <c r="F175" s="394">
        <f>IFERROR(IF(Loan_Not_Paid*Values_Entered,Principal,""), "")</f>
        <v>431430.44810154889</v>
      </c>
      <c r="G175" s="394">
        <f>IFERROR(IF(Loan_Not_Paid*Values_Entered,Interest,""), "")</f>
        <v>860279.70164721028</v>
      </c>
      <c r="H175" s="394">
        <f>IFERROR(IF(Loan_Not_Paid*Values_Entered,Ending_Balance,""), "")</f>
        <v>158389437.54830724</v>
      </c>
    </row>
    <row r="176" spans="2:8">
      <c r="B176" s="396">
        <f>IFERROR(IF(Loan_Not_Paid*Values_Entered,Payment_Number,""), "")</f>
        <v>159</v>
      </c>
      <c r="C176" s="395"/>
      <c r="D176" s="394">
        <f>IFERROR(IF(Loan_Not_Paid*Values_Entered,Beginning_Balance,""), "")</f>
        <v>158389437.54830724</v>
      </c>
      <c r="E176" s="394">
        <f>IFERROR(IF(Loan_Not_Paid*Values_Entered,Monthly_Payment,""), "")</f>
        <v>1291710.1497487591</v>
      </c>
      <c r="F176" s="394">
        <f>IFERROR(IF(Loan_Not_Paid*Values_Entered,Principal,""), "")</f>
        <v>433767.36302876566</v>
      </c>
      <c r="G176" s="394">
        <f>IFERROR(IF(Loan_Not_Paid*Values_Entered,Interest,""), "")</f>
        <v>857942.78671999357</v>
      </c>
      <c r="H176" s="394">
        <f>IFERROR(IF(Loan_Not_Paid*Values_Entered,Ending_Balance,""), "")</f>
        <v>157955670.18527848</v>
      </c>
    </row>
    <row r="177" spans="2:8">
      <c r="B177" s="396">
        <f>IFERROR(IF(Loan_Not_Paid*Values_Entered,Payment_Number,""), "")</f>
        <v>160</v>
      </c>
      <c r="C177" s="395"/>
      <c r="D177" s="394">
        <f>IFERROR(IF(Loan_Not_Paid*Values_Entered,Beginning_Balance,""), "")</f>
        <v>157955670.18527848</v>
      </c>
      <c r="E177" s="394">
        <f>IFERROR(IF(Loan_Not_Paid*Values_Entered,Monthly_Payment,""), "")</f>
        <v>1291710.1497487591</v>
      </c>
      <c r="F177" s="394">
        <f>IFERROR(IF(Loan_Not_Paid*Values_Entered,Principal,""), "")</f>
        <v>436116.93624517147</v>
      </c>
      <c r="G177" s="394">
        <f>IFERROR(IF(Loan_Not_Paid*Values_Entered,Interest,""), "")</f>
        <v>855593.21350358776</v>
      </c>
      <c r="H177" s="394">
        <f>IFERROR(IF(Loan_Not_Paid*Values_Entered,Ending_Balance,""), "")</f>
        <v>157519553.24903333</v>
      </c>
    </row>
    <row r="178" spans="2:8">
      <c r="B178" s="396">
        <f>IFERROR(IF(Loan_Not_Paid*Values_Entered,Payment_Number,""), "")</f>
        <v>161</v>
      </c>
      <c r="C178" s="395"/>
      <c r="D178" s="394">
        <f>IFERROR(IF(Loan_Not_Paid*Values_Entered,Beginning_Balance,""), "")</f>
        <v>157519553.24903333</v>
      </c>
      <c r="E178" s="394">
        <f>IFERROR(IF(Loan_Not_Paid*Values_Entered,Monthly_Payment,""), "")</f>
        <v>1291710.1497487591</v>
      </c>
      <c r="F178" s="394">
        <f>IFERROR(IF(Loan_Not_Paid*Values_Entered,Principal,""), "")</f>
        <v>438479.23631649942</v>
      </c>
      <c r="G178" s="394">
        <f>IFERROR(IF(Loan_Not_Paid*Values_Entered,Interest,""), "")</f>
        <v>853230.91343225958</v>
      </c>
      <c r="H178" s="394">
        <f>IFERROR(IF(Loan_Not_Paid*Values_Entered,Ending_Balance,""), "")</f>
        <v>157081074.01271683</v>
      </c>
    </row>
    <row r="179" spans="2:8">
      <c r="B179" s="396">
        <f>IFERROR(IF(Loan_Not_Paid*Values_Entered,Payment_Number,""), "")</f>
        <v>162</v>
      </c>
      <c r="C179" s="395"/>
      <c r="D179" s="394">
        <f>IFERROR(IF(Loan_Not_Paid*Values_Entered,Beginning_Balance,""), "")</f>
        <v>157081074.01271683</v>
      </c>
      <c r="E179" s="394">
        <f>IFERROR(IF(Loan_Not_Paid*Values_Entered,Monthly_Payment,""), "")</f>
        <v>1291710.1497487591</v>
      </c>
      <c r="F179" s="394">
        <f>IFERROR(IF(Loan_Not_Paid*Values_Entered,Principal,""), "")</f>
        <v>440854.33217988047</v>
      </c>
      <c r="G179" s="394">
        <f>IFERROR(IF(Loan_Not_Paid*Values_Entered,Interest,""), "")</f>
        <v>850855.81756887864</v>
      </c>
      <c r="H179" s="394">
        <f>IFERROR(IF(Loan_Not_Paid*Values_Entered,Ending_Balance,""), "")</f>
        <v>156640219.68053699</v>
      </c>
    </row>
    <row r="180" spans="2:8">
      <c r="B180" s="396">
        <f>IFERROR(IF(Loan_Not_Paid*Values_Entered,Payment_Number,""), "")</f>
        <v>163</v>
      </c>
      <c r="C180" s="395"/>
      <c r="D180" s="394">
        <f>IFERROR(IF(Loan_Not_Paid*Values_Entered,Beginning_Balance,""), "")</f>
        <v>156640219.68053699</v>
      </c>
      <c r="E180" s="394">
        <f>IFERROR(IF(Loan_Not_Paid*Values_Entered,Monthly_Payment,""), "")</f>
        <v>1291710.1497487591</v>
      </c>
      <c r="F180" s="394">
        <f>IFERROR(IF(Loan_Not_Paid*Values_Entered,Principal,""), "")</f>
        <v>443242.29314585484</v>
      </c>
      <c r="G180" s="394">
        <f>IFERROR(IF(Loan_Not_Paid*Values_Entered,Interest,""), "")</f>
        <v>848467.85660290439</v>
      </c>
      <c r="H180" s="394">
        <f>IFERROR(IF(Loan_Not_Paid*Values_Entered,Ending_Balance,""), "")</f>
        <v>156196977.38739115</v>
      </c>
    </row>
    <row r="181" spans="2:8">
      <c r="B181" s="396">
        <f>IFERROR(IF(Loan_Not_Paid*Values_Entered,Payment_Number,""), "")</f>
        <v>164</v>
      </c>
      <c r="C181" s="395"/>
      <c r="D181" s="394">
        <f>IFERROR(IF(Loan_Not_Paid*Values_Entered,Beginning_Balance,""), "")</f>
        <v>156196977.38739115</v>
      </c>
      <c r="E181" s="394">
        <f>IFERROR(IF(Loan_Not_Paid*Values_Entered,Monthly_Payment,""), "")</f>
        <v>1291710.1497487591</v>
      </c>
      <c r="F181" s="394">
        <f>IFERROR(IF(Loan_Not_Paid*Values_Entered,Principal,""), "")</f>
        <v>445643.18890039489</v>
      </c>
      <c r="G181" s="394">
        <f>IFERROR(IF(Loan_Not_Paid*Values_Entered,Interest,""), "")</f>
        <v>846066.96084836428</v>
      </c>
      <c r="H181" s="394">
        <f>IFERROR(IF(Loan_Not_Paid*Values_Entered,Ending_Balance,""), "")</f>
        <v>155751334.19849068</v>
      </c>
    </row>
    <row r="182" spans="2:8">
      <c r="B182" s="396">
        <f>IFERROR(IF(Loan_Not_Paid*Values_Entered,Payment_Number,""), "")</f>
        <v>165</v>
      </c>
      <c r="C182" s="395"/>
      <c r="D182" s="394">
        <f>IFERROR(IF(Loan_Not_Paid*Values_Entered,Beginning_Balance,""), "")</f>
        <v>155751334.19849068</v>
      </c>
      <c r="E182" s="394">
        <f>IFERROR(IF(Loan_Not_Paid*Values_Entered,Monthly_Payment,""), "")</f>
        <v>1291710.1497487591</v>
      </c>
      <c r="F182" s="394">
        <f>IFERROR(IF(Loan_Not_Paid*Values_Entered,Principal,""), "")</f>
        <v>448057.0895069387</v>
      </c>
      <c r="G182" s="394">
        <f>IFERROR(IF(Loan_Not_Paid*Values_Entered,Interest,""), "")</f>
        <v>843653.06024182052</v>
      </c>
      <c r="H182" s="394">
        <f>IFERROR(IF(Loan_Not_Paid*Values_Entered,Ending_Balance,""), "")</f>
        <v>155303277.10898387</v>
      </c>
    </row>
    <row r="183" spans="2:8">
      <c r="B183" s="396">
        <f>IFERROR(IF(Loan_Not_Paid*Values_Entered,Payment_Number,""), "")</f>
        <v>166</v>
      </c>
      <c r="C183" s="395"/>
      <c r="D183" s="394">
        <f>IFERROR(IF(Loan_Not_Paid*Values_Entered,Beginning_Balance,""), "")</f>
        <v>155303277.10898387</v>
      </c>
      <c r="E183" s="394">
        <f>IFERROR(IF(Loan_Not_Paid*Values_Entered,Monthly_Payment,""), "")</f>
        <v>1291710.1497487591</v>
      </c>
      <c r="F183" s="394">
        <f>IFERROR(IF(Loan_Not_Paid*Values_Entered,Principal,""), "")</f>
        <v>450484.06540843454</v>
      </c>
      <c r="G183" s="394">
        <f>IFERROR(IF(Loan_Not_Paid*Values_Entered,Interest,""), "")</f>
        <v>841226.08434032451</v>
      </c>
      <c r="H183" s="394">
        <f>IFERROR(IF(Loan_Not_Paid*Values_Entered,Ending_Balance,""), "")</f>
        <v>154852793.04357535</v>
      </c>
    </row>
    <row r="184" spans="2:8">
      <c r="B184" s="396">
        <f>IFERROR(IF(Loan_Not_Paid*Values_Entered,Payment_Number,""), "")</f>
        <v>167</v>
      </c>
      <c r="C184" s="395"/>
      <c r="D184" s="394">
        <f>IFERROR(IF(Loan_Not_Paid*Values_Entered,Beginning_Balance,""), "")</f>
        <v>154852793.04357535</v>
      </c>
      <c r="E184" s="394">
        <f>IFERROR(IF(Loan_Not_Paid*Values_Entered,Monthly_Payment,""), "")</f>
        <v>1291710.1497487591</v>
      </c>
      <c r="F184" s="394">
        <f>IFERROR(IF(Loan_Not_Paid*Values_Entered,Principal,""), "")</f>
        <v>452924.1874293969</v>
      </c>
      <c r="G184" s="394">
        <f>IFERROR(IF(Loan_Not_Paid*Values_Entered,Interest,""), "")</f>
        <v>838785.96231936209</v>
      </c>
      <c r="H184" s="394">
        <f>IFERROR(IF(Loan_Not_Paid*Values_Entered,Ending_Balance,""), "")</f>
        <v>154399868.85614604</v>
      </c>
    </row>
    <row r="185" spans="2:8">
      <c r="B185" s="396">
        <f>IFERROR(IF(Loan_Not_Paid*Values_Entered,Payment_Number,""), "")</f>
        <v>168</v>
      </c>
      <c r="C185" s="395"/>
      <c r="D185" s="394">
        <f>IFERROR(IF(Loan_Not_Paid*Values_Entered,Beginning_Balance,""), "")</f>
        <v>154399868.85614604</v>
      </c>
      <c r="E185" s="394">
        <f>IFERROR(IF(Loan_Not_Paid*Values_Entered,Monthly_Payment,""), "")</f>
        <v>1291710.1497487591</v>
      </c>
      <c r="F185" s="394">
        <f>IFERROR(IF(Loan_Not_Paid*Values_Entered,Principal,""), "")</f>
        <v>455377.52677797282</v>
      </c>
      <c r="G185" s="394">
        <f>IFERROR(IF(Loan_Not_Paid*Values_Entered,Interest,""), "")</f>
        <v>836332.62297078618</v>
      </c>
      <c r="H185" s="394">
        <f>IFERROR(IF(Loan_Not_Paid*Values_Entered,Ending_Balance,""), "")</f>
        <v>153944491.32936805</v>
      </c>
    </row>
    <row r="186" spans="2:8">
      <c r="B186" s="396">
        <f>IFERROR(IF(Loan_Not_Paid*Values_Entered,Payment_Number,""), "")</f>
        <v>169</v>
      </c>
      <c r="C186" s="395"/>
      <c r="D186" s="394">
        <f>IFERROR(IF(Loan_Not_Paid*Values_Entered,Beginning_Balance,""), "")</f>
        <v>153944491.32936805</v>
      </c>
      <c r="E186" s="394">
        <f>IFERROR(IF(Loan_Not_Paid*Values_Entered,Monthly_Payment,""), "")</f>
        <v>1291710.1497487591</v>
      </c>
      <c r="F186" s="394">
        <f>IFERROR(IF(Loan_Not_Paid*Values_Entered,Principal,""), "")</f>
        <v>457844.15504802018</v>
      </c>
      <c r="G186" s="394">
        <f>IFERROR(IF(Loan_Not_Paid*Values_Entered,Interest,""), "")</f>
        <v>833865.99470073881</v>
      </c>
      <c r="H186" s="394">
        <f>IFERROR(IF(Loan_Not_Paid*Values_Entered,Ending_Balance,""), "")</f>
        <v>153486647.17432004</v>
      </c>
    </row>
    <row r="187" spans="2:8">
      <c r="B187" s="396">
        <f>IFERROR(IF(Loan_Not_Paid*Values_Entered,Payment_Number,""), "")</f>
        <v>170</v>
      </c>
      <c r="C187" s="395"/>
      <c r="D187" s="394">
        <f>IFERROR(IF(Loan_Not_Paid*Values_Entered,Beginning_Balance,""), "")</f>
        <v>153486647.17432004</v>
      </c>
      <c r="E187" s="394">
        <f>IFERROR(IF(Loan_Not_Paid*Values_Entered,Monthly_Payment,""), "")</f>
        <v>1291710.1497487591</v>
      </c>
      <c r="F187" s="394">
        <f>IFERROR(IF(Loan_Not_Paid*Values_Entered,Principal,""), "")</f>
        <v>460324.14422119694</v>
      </c>
      <c r="G187" s="394">
        <f>IFERROR(IF(Loan_Not_Paid*Values_Entered,Interest,""), "")</f>
        <v>831386.00552756211</v>
      </c>
      <c r="H187" s="394">
        <f>IFERROR(IF(Loan_Not_Paid*Values_Entered,Ending_Balance,""), "")</f>
        <v>153026323.03009874</v>
      </c>
    </row>
    <row r="188" spans="2:8">
      <c r="B188" s="396">
        <f>IFERROR(IF(Loan_Not_Paid*Values_Entered,Payment_Number,""), "")</f>
        <v>171</v>
      </c>
      <c r="C188" s="395"/>
      <c r="D188" s="394">
        <f>IFERROR(IF(Loan_Not_Paid*Values_Entered,Beginning_Balance,""), "")</f>
        <v>153026323.03009874</v>
      </c>
      <c r="E188" s="394">
        <f>IFERROR(IF(Loan_Not_Paid*Values_Entered,Monthly_Payment,""), "")</f>
        <v>1291710.1497487591</v>
      </c>
      <c r="F188" s="394">
        <f>IFERROR(IF(Loan_Not_Paid*Values_Entered,Principal,""), "")</f>
        <v>462817.56666906178</v>
      </c>
      <c r="G188" s="394">
        <f>IFERROR(IF(Loan_Not_Paid*Values_Entered,Interest,""), "")</f>
        <v>828892.58307969745</v>
      </c>
      <c r="H188" s="394">
        <f>IFERROR(IF(Loan_Not_Paid*Values_Entered,Ending_Balance,""), "")</f>
        <v>152563505.46342975</v>
      </c>
    </row>
    <row r="189" spans="2:8">
      <c r="B189" s="396">
        <f>IFERROR(IF(Loan_Not_Paid*Values_Entered,Payment_Number,""), "")</f>
        <v>172</v>
      </c>
      <c r="C189" s="395"/>
      <c r="D189" s="394">
        <f>IFERROR(IF(Loan_Not_Paid*Values_Entered,Beginning_Balance,""), "")</f>
        <v>152563505.46342975</v>
      </c>
      <c r="E189" s="394">
        <f>IFERROR(IF(Loan_Not_Paid*Values_Entered,Monthly_Payment,""), "")</f>
        <v>1291710.1497487591</v>
      </c>
      <c r="F189" s="394">
        <f>IFERROR(IF(Loan_Not_Paid*Values_Entered,Principal,""), "")</f>
        <v>465324.49515518587</v>
      </c>
      <c r="G189" s="394">
        <f>IFERROR(IF(Loan_Not_Paid*Values_Entered,Interest,""), "")</f>
        <v>826385.65459357318</v>
      </c>
      <c r="H189" s="394">
        <f>IFERROR(IF(Loan_Not_Paid*Values_Entered,Ending_Balance,""), "")</f>
        <v>152098180.96827459</v>
      </c>
    </row>
    <row r="190" spans="2:8">
      <c r="B190" s="396">
        <f>IFERROR(IF(Loan_Not_Paid*Values_Entered,Payment_Number,""), "")</f>
        <v>173</v>
      </c>
      <c r="C190" s="395"/>
      <c r="D190" s="394">
        <f>IFERROR(IF(Loan_Not_Paid*Values_Entered,Beginning_Balance,""), "")</f>
        <v>152098180.96827459</v>
      </c>
      <c r="E190" s="394">
        <f>IFERROR(IF(Loan_Not_Paid*Values_Entered,Monthly_Payment,""), "")</f>
        <v>1291710.1497487591</v>
      </c>
      <c r="F190" s="394">
        <f>IFERROR(IF(Loan_Not_Paid*Values_Entered,Principal,""), "")</f>
        <v>467845.00283727644</v>
      </c>
      <c r="G190" s="394">
        <f>IFERROR(IF(Loan_Not_Paid*Values_Entered,Interest,""), "")</f>
        <v>823865.14691148256</v>
      </c>
      <c r="H190" s="394">
        <f>IFERROR(IF(Loan_Not_Paid*Values_Entered,Ending_Balance,""), "")</f>
        <v>151630335.96543735</v>
      </c>
    </row>
    <row r="191" spans="2:8">
      <c r="B191" s="396">
        <f>IFERROR(IF(Loan_Not_Paid*Values_Entered,Payment_Number,""), "")</f>
        <v>174</v>
      </c>
      <c r="C191" s="395"/>
      <c r="D191" s="394">
        <f>IFERROR(IF(Loan_Not_Paid*Values_Entered,Beginning_Balance,""), "")</f>
        <v>151630335.96543735</v>
      </c>
      <c r="E191" s="394">
        <f>IFERROR(IF(Loan_Not_Paid*Values_Entered,Monthly_Payment,""), "")</f>
        <v>1291710.1497487591</v>
      </c>
      <c r="F191" s="394">
        <f>IFERROR(IF(Loan_Not_Paid*Values_Entered,Principal,""), "")</f>
        <v>470379.16326931177</v>
      </c>
      <c r="G191" s="394">
        <f>IFERROR(IF(Loan_Not_Paid*Values_Entered,Interest,""), "")</f>
        <v>821330.98647944734</v>
      </c>
      <c r="H191" s="394">
        <f>IFERROR(IF(Loan_Not_Paid*Values_Entered,Ending_Balance,""), "")</f>
        <v>151159956.80216807</v>
      </c>
    </row>
    <row r="192" spans="2:8">
      <c r="B192" s="396">
        <f>IFERROR(IF(Loan_Not_Paid*Values_Entered,Payment_Number,""), "")</f>
        <v>175</v>
      </c>
      <c r="C192" s="395"/>
      <c r="D192" s="394">
        <f>IFERROR(IF(Loan_Not_Paid*Values_Entered,Beginning_Balance,""), "")</f>
        <v>151159956.80216807</v>
      </c>
      <c r="E192" s="394">
        <f>IFERROR(IF(Loan_Not_Paid*Values_Entered,Monthly_Payment,""), "")</f>
        <v>1291710.1497487591</v>
      </c>
      <c r="F192" s="394">
        <f>IFERROR(IF(Loan_Not_Paid*Values_Entered,Principal,""), "")</f>
        <v>472927.05040368717</v>
      </c>
      <c r="G192" s="394">
        <f>IFERROR(IF(Loan_Not_Paid*Values_Entered,Interest,""), "")</f>
        <v>818783.09934507194</v>
      </c>
      <c r="H192" s="394">
        <f>IFERROR(IF(Loan_Not_Paid*Values_Entered,Ending_Balance,""), "")</f>
        <v>150687029.75176436</v>
      </c>
    </row>
    <row r="193" spans="2:8">
      <c r="B193" s="396">
        <f>IFERROR(IF(Loan_Not_Paid*Values_Entered,Payment_Number,""), "")</f>
        <v>176</v>
      </c>
      <c r="C193" s="395"/>
      <c r="D193" s="394">
        <f>IFERROR(IF(Loan_Not_Paid*Values_Entered,Beginning_Balance,""), "")</f>
        <v>150687029.75176436</v>
      </c>
      <c r="E193" s="394">
        <f>IFERROR(IF(Loan_Not_Paid*Values_Entered,Monthly_Payment,""), "")</f>
        <v>1291710.1497487591</v>
      </c>
      <c r="F193" s="394">
        <f>IFERROR(IF(Loan_Not_Paid*Values_Entered,Principal,""), "")</f>
        <v>475488.7385933738</v>
      </c>
      <c r="G193" s="394">
        <f>IFERROR(IF(Loan_Not_Paid*Values_Entered,Interest,""), "")</f>
        <v>816221.41115538531</v>
      </c>
      <c r="H193" s="394">
        <f>IFERROR(IF(Loan_Not_Paid*Values_Entered,Ending_Balance,""), "")</f>
        <v>150211541.01317102</v>
      </c>
    </row>
    <row r="194" spans="2:8">
      <c r="B194" s="396">
        <f>IFERROR(IF(Loan_Not_Paid*Values_Entered,Payment_Number,""), "")</f>
        <v>177</v>
      </c>
      <c r="C194" s="395"/>
      <c r="D194" s="394">
        <f>IFERROR(IF(Loan_Not_Paid*Values_Entered,Beginning_Balance,""), "")</f>
        <v>150211541.01317102</v>
      </c>
      <c r="E194" s="394">
        <f>IFERROR(IF(Loan_Not_Paid*Values_Entered,Monthly_Payment,""), "")</f>
        <v>1291710.1497487591</v>
      </c>
      <c r="F194" s="394">
        <f>IFERROR(IF(Loan_Not_Paid*Values_Entered,Principal,""), "")</f>
        <v>478064.3025940879</v>
      </c>
      <c r="G194" s="394">
        <f>IFERROR(IF(Loan_Not_Paid*Values_Entered,Interest,""), "")</f>
        <v>813645.84715467121</v>
      </c>
      <c r="H194" s="394">
        <f>IFERROR(IF(Loan_Not_Paid*Values_Entered,Ending_Balance,""), "")</f>
        <v>149733476.71057695</v>
      </c>
    </row>
    <row r="195" spans="2:8">
      <c r="B195" s="396">
        <f>IFERROR(IF(Loan_Not_Paid*Values_Entered,Payment_Number,""), "")</f>
        <v>178</v>
      </c>
      <c r="C195" s="395"/>
      <c r="D195" s="394">
        <f>IFERROR(IF(Loan_Not_Paid*Values_Entered,Beginning_Balance,""), "")</f>
        <v>149733476.71057695</v>
      </c>
      <c r="E195" s="394">
        <f>IFERROR(IF(Loan_Not_Paid*Values_Entered,Monthly_Payment,""), "")</f>
        <v>1291710.1497487591</v>
      </c>
      <c r="F195" s="394">
        <f>IFERROR(IF(Loan_Not_Paid*Values_Entered,Principal,""), "")</f>
        <v>480653.81756647257</v>
      </c>
      <c r="G195" s="394">
        <f>IFERROR(IF(Loan_Not_Paid*Values_Entered,Interest,""), "")</f>
        <v>811056.33218228666</v>
      </c>
      <c r="H195" s="394">
        <f>IFERROR(IF(Loan_Not_Paid*Values_Entered,Ending_Balance,""), "")</f>
        <v>149252822.89301044</v>
      </c>
    </row>
    <row r="196" spans="2:8">
      <c r="B196" s="396">
        <f>IFERROR(IF(Loan_Not_Paid*Values_Entered,Payment_Number,""), "")</f>
        <v>179</v>
      </c>
      <c r="C196" s="395"/>
      <c r="D196" s="394">
        <f>IFERROR(IF(Loan_Not_Paid*Values_Entered,Beginning_Balance,""), "")</f>
        <v>149252822.89301044</v>
      </c>
      <c r="E196" s="394">
        <f>IFERROR(IF(Loan_Not_Paid*Values_Entered,Monthly_Payment,""), "")</f>
        <v>1291710.1497487591</v>
      </c>
      <c r="F196" s="394">
        <f>IFERROR(IF(Loan_Not_Paid*Values_Entered,Principal,""), "")</f>
        <v>483257.35907829087</v>
      </c>
      <c r="G196" s="394">
        <f>IFERROR(IF(Loan_Not_Paid*Values_Entered,Interest,""), "")</f>
        <v>808452.79067046824</v>
      </c>
      <c r="H196" s="394">
        <f>IFERROR(IF(Loan_Not_Paid*Values_Entered,Ending_Balance,""), "")</f>
        <v>148769565.53393215</v>
      </c>
    </row>
    <row r="197" spans="2:8">
      <c r="B197" s="396">
        <f>IFERROR(IF(Loan_Not_Paid*Values_Entered,Payment_Number,""), "")</f>
        <v>180</v>
      </c>
      <c r="C197" s="395"/>
      <c r="D197" s="394">
        <f>IFERROR(IF(Loan_Not_Paid*Values_Entered,Beginning_Balance,""), "")</f>
        <v>148769565.53393215</v>
      </c>
      <c r="E197" s="394">
        <f>IFERROR(IF(Loan_Not_Paid*Values_Entered,Monthly_Payment,""), "")</f>
        <v>1291710.1497487591</v>
      </c>
      <c r="F197" s="394">
        <f>IFERROR(IF(Loan_Not_Paid*Values_Entered,Principal,""), "")</f>
        <v>485875.00310663169</v>
      </c>
      <c r="G197" s="394">
        <f>IFERROR(IF(Loan_Not_Paid*Values_Entered,Interest,""), "")</f>
        <v>805835.14664212731</v>
      </c>
      <c r="H197" s="394">
        <f>IFERROR(IF(Loan_Not_Paid*Values_Entered,Ending_Balance,""), "")</f>
        <v>148283690.53082556</v>
      </c>
    </row>
    <row r="198" spans="2:8">
      <c r="B198" s="396">
        <f>IFERROR(IF(Loan_Not_Paid*Values_Entered,Payment_Number,""), "")</f>
        <v>181</v>
      </c>
      <c r="C198" s="395"/>
      <c r="D198" s="394">
        <f>IFERROR(IF(Loan_Not_Paid*Values_Entered,Beginning_Balance,""), "")</f>
        <v>148283690.53082556</v>
      </c>
      <c r="E198" s="394">
        <f>IFERROR(IF(Loan_Not_Paid*Values_Entered,Monthly_Payment,""), "")</f>
        <v>1291710.1497487591</v>
      </c>
      <c r="F198" s="394">
        <f>IFERROR(IF(Loan_Not_Paid*Values_Entered,Principal,""), "")</f>
        <v>488506.82604012598</v>
      </c>
      <c r="G198" s="394">
        <f>IFERROR(IF(Loan_Not_Paid*Values_Entered,Interest,""), "")</f>
        <v>803203.32370863308</v>
      </c>
      <c r="H198" s="394">
        <f>IFERROR(IF(Loan_Not_Paid*Values_Entered,Ending_Balance,""), "")</f>
        <v>147795183.70478541</v>
      </c>
    </row>
    <row r="199" spans="2:8">
      <c r="B199" s="396">
        <f>IFERROR(IF(Loan_Not_Paid*Values_Entered,Payment_Number,""), "")</f>
        <v>182</v>
      </c>
      <c r="C199" s="395"/>
      <c r="D199" s="394">
        <f>IFERROR(IF(Loan_Not_Paid*Values_Entered,Beginning_Balance,""), "")</f>
        <v>147795183.70478541</v>
      </c>
      <c r="E199" s="394">
        <f>IFERROR(IF(Loan_Not_Paid*Values_Entered,Monthly_Payment,""), "")</f>
        <v>1291710.1497487591</v>
      </c>
      <c r="F199" s="394">
        <f>IFERROR(IF(Loan_Not_Paid*Values_Entered,Principal,""), "")</f>
        <v>491152.90468117665</v>
      </c>
      <c r="G199" s="394">
        <f>IFERROR(IF(Loan_Not_Paid*Values_Entered,Interest,""), "")</f>
        <v>800557.24506758247</v>
      </c>
      <c r="H199" s="394">
        <f>IFERROR(IF(Loan_Not_Paid*Values_Entered,Ending_Balance,""), "")</f>
        <v>147304030.8001042</v>
      </c>
    </row>
    <row r="200" spans="2:8">
      <c r="B200" s="396">
        <f>IFERROR(IF(Loan_Not_Paid*Values_Entered,Payment_Number,""), "")</f>
        <v>183</v>
      </c>
      <c r="C200" s="395"/>
      <c r="D200" s="394">
        <f>IFERROR(IF(Loan_Not_Paid*Values_Entered,Beginning_Balance,""), "")</f>
        <v>147304030.8001042</v>
      </c>
      <c r="E200" s="394">
        <f>IFERROR(IF(Loan_Not_Paid*Values_Entered,Monthly_Payment,""), "")</f>
        <v>1291710.1497487591</v>
      </c>
      <c r="F200" s="394">
        <f>IFERROR(IF(Loan_Not_Paid*Values_Entered,Principal,""), "")</f>
        <v>493813.31624819967</v>
      </c>
      <c r="G200" s="394">
        <f>IFERROR(IF(Loan_Not_Paid*Values_Entered,Interest,""), "")</f>
        <v>797896.83350055933</v>
      </c>
      <c r="H200" s="394">
        <f>IFERROR(IF(Loan_Not_Paid*Values_Entered,Ending_Balance,""), "")</f>
        <v>146810217.48385608</v>
      </c>
    </row>
    <row r="201" spans="2:8">
      <c r="B201" s="396">
        <f>IFERROR(IF(Loan_Not_Paid*Values_Entered,Payment_Number,""), "")</f>
        <v>184</v>
      </c>
      <c r="C201" s="395"/>
      <c r="D201" s="394">
        <f>IFERROR(IF(Loan_Not_Paid*Values_Entered,Beginning_Balance,""), "")</f>
        <v>146810217.48385608</v>
      </c>
      <c r="E201" s="394">
        <f>IFERROR(IF(Loan_Not_Paid*Values_Entered,Monthly_Payment,""), "")</f>
        <v>1291710.1497487591</v>
      </c>
      <c r="F201" s="394">
        <f>IFERROR(IF(Loan_Not_Paid*Values_Entered,Principal,""), "")</f>
        <v>496488.13837787736</v>
      </c>
      <c r="G201" s="394">
        <f>IFERROR(IF(Loan_Not_Paid*Values_Entered,Interest,""), "")</f>
        <v>795222.01137088146</v>
      </c>
      <c r="H201" s="394">
        <f>IFERROR(IF(Loan_Not_Paid*Values_Entered,Ending_Balance,""), "")</f>
        <v>146313729.34547824</v>
      </c>
    </row>
    <row r="202" spans="2:8">
      <c r="B202" s="396">
        <f>IFERROR(IF(Loan_Not_Paid*Values_Entered,Payment_Number,""), "")</f>
        <v>185</v>
      </c>
      <c r="C202" s="395"/>
      <c r="D202" s="394">
        <f>IFERROR(IF(Loan_Not_Paid*Values_Entered,Beginning_Balance,""), "")</f>
        <v>146313729.34547824</v>
      </c>
      <c r="E202" s="394">
        <f>IFERROR(IF(Loan_Not_Paid*Values_Entered,Monthly_Payment,""), "")</f>
        <v>1291710.1497487591</v>
      </c>
      <c r="F202" s="394">
        <f>IFERROR(IF(Loan_Not_Paid*Values_Entered,Principal,""), "")</f>
        <v>499177.44912742428</v>
      </c>
      <c r="G202" s="394">
        <f>IFERROR(IF(Loan_Not_Paid*Values_Entered,Interest,""), "")</f>
        <v>792532.70062133484</v>
      </c>
      <c r="H202" s="394">
        <f>IFERROR(IF(Loan_Not_Paid*Values_Entered,Ending_Balance,""), "")</f>
        <v>145814551.89635074</v>
      </c>
    </row>
    <row r="203" spans="2:8">
      <c r="B203" s="396">
        <f>IFERROR(IF(Loan_Not_Paid*Values_Entered,Payment_Number,""), "")</f>
        <v>186</v>
      </c>
      <c r="C203" s="395"/>
      <c r="D203" s="394">
        <f>IFERROR(IF(Loan_Not_Paid*Values_Entered,Beginning_Balance,""), "")</f>
        <v>145814551.89635074</v>
      </c>
      <c r="E203" s="394">
        <f>IFERROR(IF(Loan_Not_Paid*Values_Entered,Monthly_Payment,""), "")</f>
        <v>1291710.1497487591</v>
      </c>
      <c r="F203" s="394">
        <f>IFERROR(IF(Loan_Not_Paid*Values_Entered,Principal,""), "")</f>
        <v>501881.32697686448</v>
      </c>
      <c r="G203" s="394">
        <f>IFERROR(IF(Loan_Not_Paid*Values_Entered,Interest,""), "")</f>
        <v>789828.82277189475</v>
      </c>
      <c r="H203" s="394">
        <f>IFERROR(IF(Loan_Not_Paid*Values_Entered,Ending_Balance,""), "")</f>
        <v>145312670.56937397</v>
      </c>
    </row>
    <row r="204" spans="2:8">
      <c r="B204" s="396">
        <f>IFERROR(IF(Loan_Not_Paid*Values_Entered,Payment_Number,""), "")</f>
        <v>187</v>
      </c>
      <c r="C204" s="395"/>
      <c r="D204" s="394">
        <f>IFERROR(IF(Loan_Not_Paid*Values_Entered,Beginning_Balance,""), "")</f>
        <v>145312670.56937397</v>
      </c>
      <c r="E204" s="394">
        <f>IFERROR(IF(Loan_Not_Paid*Values_Entered,Monthly_Payment,""), "")</f>
        <v>1291710.1497487591</v>
      </c>
      <c r="F204" s="394">
        <f>IFERROR(IF(Loan_Not_Paid*Values_Entered,Principal,""), "")</f>
        <v>504599.85083132243</v>
      </c>
      <c r="G204" s="394">
        <f>IFERROR(IF(Loan_Not_Paid*Values_Entered,Interest,""), "")</f>
        <v>787110.29891743674</v>
      </c>
      <c r="H204" s="394">
        <f>IFERROR(IF(Loan_Not_Paid*Values_Entered,Ending_Balance,""), "")</f>
        <v>144808070.71854264</v>
      </c>
    </row>
    <row r="205" spans="2:8">
      <c r="B205" s="396">
        <f>IFERROR(IF(Loan_Not_Paid*Values_Entered,Payment_Number,""), "")</f>
        <v>188</v>
      </c>
      <c r="C205" s="395"/>
      <c r="D205" s="394">
        <f>IFERROR(IF(Loan_Not_Paid*Values_Entered,Beginning_Balance,""), "")</f>
        <v>144808070.71854264</v>
      </c>
      <c r="E205" s="394">
        <f>IFERROR(IF(Loan_Not_Paid*Values_Entered,Monthly_Payment,""), "")</f>
        <v>1291710.1497487591</v>
      </c>
      <c r="F205" s="394">
        <f>IFERROR(IF(Loan_Not_Paid*Values_Entered,Principal,""), "")</f>
        <v>507333.10002332547</v>
      </c>
      <c r="G205" s="394">
        <f>IFERROR(IF(Loan_Not_Paid*Values_Entered,Interest,""), "")</f>
        <v>784377.0497254337</v>
      </c>
      <c r="H205" s="394">
        <f>IFERROR(IF(Loan_Not_Paid*Values_Entered,Ending_Balance,""), "")</f>
        <v>144300737.61851931</v>
      </c>
    </row>
    <row r="206" spans="2:8">
      <c r="B206" s="396">
        <f>IFERROR(IF(Loan_Not_Paid*Values_Entered,Payment_Number,""), "")</f>
        <v>189</v>
      </c>
      <c r="C206" s="395"/>
      <c r="D206" s="394">
        <f>IFERROR(IF(Loan_Not_Paid*Values_Entered,Beginning_Balance,""), "")</f>
        <v>144300737.61851931</v>
      </c>
      <c r="E206" s="394">
        <f>IFERROR(IF(Loan_Not_Paid*Values_Entered,Monthly_Payment,""), "")</f>
        <v>1291710.1497487591</v>
      </c>
      <c r="F206" s="394">
        <f>IFERROR(IF(Loan_Not_Paid*Values_Entered,Principal,""), "")</f>
        <v>510081.15431511839</v>
      </c>
      <c r="G206" s="394">
        <f>IFERROR(IF(Loan_Not_Paid*Values_Entered,Interest,""), "")</f>
        <v>781628.99543364067</v>
      </c>
      <c r="H206" s="394">
        <f>IFERROR(IF(Loan_Not_Paid*Values_Entered,Ending_Balance,""), "")</f>
        <v>143790656.46420425</v>
      </c>
    </row>
    <row r="207" spans="2:8">
      <c r="B207" s="396">
        <f>IFERROR(IF(Loan_Not_Paid*Values_Entered,Payment_Number,""), "")</f>
        <v>190</v>
      </c>
      <c r="C207" s="395"/>
      <c r="D207" s="394">
        <f>IFERROR(IF(Loan_Not_Paid*Values_Entered,Beginning_Balance,""), "")</f>
        <v>143790656.46420425</v>
      </c>
      <c r="E207" s="394">
        <f>IFERROR(IF(Loan_Not_Paid*Values_Entered,Monthly_Payment,""), "")</f>
        <v>1291710.1497487591</v>
      </c>
      <c r="F207" s="394">
        <f>IFERROR(IF(Loan_Not_Paid*Values_Entered,Principal,""), "")</f>
        <v>512844.09390099201</v>
      </c>
      <c r="G207" s="394">
        <f>IFERROR(IF(Loan_Not_Paid*Values_Entered,Interest,""), "")</f>
        <v>778866.05584776704</v>
      </c>
      <c r="H207" s="394">
        <f>IFERROR(IF(Loan_Not_Paid*Values_Entered,Ending_Balance,""), "")</f>
        <v>143277812.37030321</v>
      </c>
    </row>
    <row r="208" spans="2:8">
      <c r="B208" s="396">
        <f>IFERROR(IF(Loan_Not_Paid*Values_Entered,Payment_Number,""), "")</f>
        <v>191</v>
      </c>
      <c r="C208" s="395"/>
      <c r="D208" s="394">
        <f>IFERROR(IF(Loan_Not_Paid*Values_Entered,Beginning_Balance,""), "")</f>
        <v>143277812.37030321</v>
      </c>
      <c r="E208" s="394">
        <f>IFERROR(IF(Loan_Not_Paid*Values_Entered,Monthly_Payment,""), "")</f>
        <v>1291710.1497487591</v>
      </c>
      <c r="F208" s="394">
        <f>IFERROR(IF(Loan_Not_Paid*Values_Entered,Principal,""), "")</f>
        <v>515621.9994096224</v>
      </c>
      <c r="G208" s="394">
        <f>IFERROR(IF(Loan_Not_Paid*Values_Entered,Interest,""), "")</f>
        <v>776088.1503391366</v>
      </c>
      <c r="H208" s="394">
        <f>IFERROR(IF(Loan_Not_Paid*Values_Entered,Ending_Balance,""), "")</f>
        <v>142762190.3708936</v>
      </c>
    </row>
    <row r="209" spans="2:8">
      <c r="B209" s="396">
        <f>IFERROR(IF(Loan_Not_Paid*Values_Entered,Payment_Number,""), "")</f>
        <v>192</v>
      </c>
      <c r="C209" s="395"/>
      <c r="D209" s="394">
        <f>IFERROR(IF(Loan_Not_Paid*Values_Entered,Beginning_Balance,""), "")</f>
        <v>142762190.3708936</v>
      </c>
      <c r="E209" s="394">
        <f>IFERROR(IF(Loan_Not_Paid*Values_Entered,Monthly_Payment,""), "")</f>
        <v>1291710.1497487591</v>
      </c>
      <c r="F209" s="394">
        <f>IFERROR(IF(Loan_Not_Paid*Values_Entered,Principal,""), "")</f>
        <v>518414.95190642454</v>
      </c>
      <c r="G209" s="394">
        <f>IFERROR(IF(Loan_Not_Paid*Values_Entered,Interest,""), "")</f>
        <v>773295.19784233451</v>
      </c>
      <c r="H209" s="394">
        <f>IFERROR(IF(Loan_Not_Paid*Values_Entered,Ending_Balance,""), "")</f>
        <v>142243775.41898727</v>
      </c>
    </row>
    <row r="210" spans="2:8">
      <c r="B210" s="396">
        <f>IFERROR(IF(Loan_Not_Paid*Values_Entered,Payment_Number,""), "")</f>
        <v>193</v>
      </c>
      <c r="C210" s="395"/>
      <c r="D210" s="394">
        <f>IFERROR(IF(Loan_Not_Paid*Values_Entered,Beginning_Balance,""), "")</f>
        <v>142243775.41898727</v>
      </c>
      <c r="E210" s="394">
        <f>IFERROR(IF(Loan_Not_Paid*Values_Entered,Monthly_Payment,""), "")</f>
        <v>1291710.1497487591</v>
      </c>
      <c r="F210" s="394">
        <f>IFERROR(IF(Loan_Not_Paid*Values_Entered,Principal,""), "")</f>
        <v>521223.03289591765</v>
      </c>
      <c r="G210" s="394">
        <f>IFERROR(IF(Loan_Not_Paid*Values_Entered,Interest,""), "")</f>
        <v>770487.11685284146</v>
      </c>
      <c r="H210" s="394">
        <f>IFERROR(IF(Loan_Not_Paid*Values_Entered,Ending_Balance,""), "")</f>
        <v>141722552.38609129</v>
      </c>
    </row>
    <row r="211" spans="2:8">
      <c r="B211" s="396">
        <f>IFERROR(IF(Loan_Not_Paid*Values_Entered,Payment_Number,""), "")</f>
        <v>194</v>
      </c>
      <c r="C211" s="395"/>
      <c r="D211" s="394">
        <f>IFERROR(IF(Loan_Not_Paid*Values_Entered,Beginning_Balance,""), "")</f>
        <v>141722552.38609129</v>
      </c>
      <c r="E211" s="394">
        <f>IFERROR(IF(Loan_Not_Paid*Values_Entered,Monthly_Payment,""), "")</f>
        <v>1291710.1497487591</v>
      </c>
      <c r="F211" s="394">
        <f>IFERROR(IF(Loan_Not_Paid*Values_Entered,Principal,""), "")</f>
        <v>524046.32432410389</v>
      </c>
      <c r="G211" s="394">
        <f>IFERROR(IF(Loan_Not_Paid*Values_Entered,Interest,""), "")</f>
        <v>767663.82542465534</v>
      </c>
      <c r="H211" s="394">
        <f>IFERROR(IF(Loan_Not_Paid*Values_Entered,Ending_Balance,""), "")</f>
        <v>141198506.06176722</v>
      </c>
    </row>
    <row r="212" spans="2:8">
      <c r="B212" s="396">
        <f>IFERROR(IF(Loan_Not_Paid*Values_Entered,Payment_Number,""), "")</f>
        <v>195</v>
      </c>
      <c r="C212" s="395"/>
      <c r="D212" s="394">
        <f>IFERROR(IF(Loan_Not_Paid*Values_Entered,Beginning_Balance,""), "")</f>
        <v>141198506.06176722</v>
      </c>
      <c r="E212" s="394">
        <f>IFERROR(IF(Loan_Not_Paid*Values_Entered,Monthly_Payment,""), "")</f>
        <v>1291710.1497487591</v>
      </c>
      <c r="F212" s="394">
        <f>IFERROR(IF(Loan_Not_Paid*Values_Entered,Principal,""), "")</f>
        <v>526884.90858085942</v>
      </c>
      <c r="G212" s="394">
        <f>IFERROR(IF(Loan_Not_Paid*Values_Entered,Interest,""), "")</f>
        <v>764825.24116789969</v>
      </c>
      <c r="H212" s="394">
        <f>IFERROR(IF(Loan_Not_Paid*Values_Entered,Ending_Balance,""), "")</f>
        <v>140671621.15318638</v>
      </c>
    </row>
    <row r="213" spans="2:8">
      <c r="B213" s="396">
        <f>IFERROR(IF(Loan_Not_Paid*Values_Entered,Payment_Number,""), "")</f>
        <v>196</v>
      </c>
      <c r="C213" s="395"/>
      <c r="D213" s="394">
        <f>IFERROR(IF(Loan_Not_Paid*Values_Entered,Beginning_Balance,""), "")</f>
        <v>140671621.15318638</v>
      </c>
      <c r="E213" s="394">
        <f>IFERROR(IF(Loan_Not_Paid*Values_Entered,Monthly_Payment,""), "")</f>
        <v>1291710.1497487591</v>
      </c>
      <c r="F213" s="394">
        <f>IFERROR(IF(Loan_Not_Paid*Values_Entered,Principal,""), "")</f>
        <v>529738.86850233912</v>
      </c>
      <c r="G213" s="394">
        <f>IFERROR(IF(Loan_Not_Paid*Values_Entered,Interest,""), "")</f>
        <v>761971.28124642011</v>
      </c>
      <c r="H213" s="394">
        <f>IFERROR(IF(Loan_Not_Paid*Values_Entered,Ending_Balance,""), "")</f>
        <v>140141882.28468412</v>
      </c>
    </row>
    <row r="214" spans="2:8">
      <c r="B214" s="396">
        <f>IFERROR(IF(Loan_Not_Paid*Values_Entered,Payment_Number,""), "")</f>
        <v>197</v>
      </c>
      <c r="C214" s="395"/>
      <c r="D214" s="394">
        <f>IFERROR(IF(Loan_Not_Paid*Values_Entered,Beginning_Balance,""), "")</f>
        <v>140141882.28468412</v>
      </c>
      <c r="E214" s="394">
        <f>IFERROR(IF(Loan_Not_Paid*Values_Entered,Monthly_Payment,""), "")</f>
        <v>1291710.1497487591</v>
      </c>
      <c r="F214" s="394">
        <f>IFERROR(IF(Loan_Not_Paid*Values_Entered,Principal,""), "")</f>
        <v>532608.28737339342</v>
      </c>
      <c r="G214" s="394">
        <f>IFERROR(IF(Loan_Not_Paid*Values_Entered,Interest,""), "")</f>
        <v>759101.86237536569</v>
      </c>
      <c r="H214" s="394">
        <f>IFERROR(IF(Loan_Not_Paid*Values_Entered,Ending_Balance,""), "")</f>
        <v>139609273.9973107</v>
      </c>
    </row>
    <row r="215" spans="2:8">
      <c r="B215" s="396">
        <f>IFERROR(IF(Loan_Not_Paid*Values_Entered,Payment_Number,""), "")</f>
        <v>198</v>
      </c>
      <c r="C215" s="395"/>
      <c r="D215" s="394">
        <f>IFERROR(IF(Loan_Not_Paid*Values_Entered,Beginning_Balance,""), "")</f>
        <v>139609273.9973107</v>
      </c>
      <c r="E215" s="394">
        <f>IFERROR(IF(Loan_Not_Paid*Values_Entered,Monthly_Payment,""), "")</f>
        <v>1291710.1497487591</v>
      </c>
      <c r="F215" s="394">
        <f>IFERROR(IF(Loan_Not_Paid*Values_Entered,Principal,""), "")</f>
        <v>535493.2489299993</v>
      </c>
      <c r="G215" s="394">
        <f>IFERROR(IF(Loan_Not_Paid*Values_Entered,Interest,""), "")</f>
        <v>756216.90081875981</v>
      </c>
      <c r="H215" s="394">
        <f>IFERROR(IF(Loan_Not_Paid*Values_Entered,Ending_Balance,""), "")</f>
        <v>139073780.74838072</v>
      </c>
    </row>
    <row r="216" spans="2:8">
      <c r="B216" s="396">
        <f>IFERROR(IF(Loan_Not_Paid*Values_Entered,Payment_Number,""), "")</f>
        <v>199</v>
      </c>
      <c r="C216" s="395"/>
      <c r="D216" s="394">
        <f>IFERROR(IF(Loan_Not_Paid*Values_Entered,Beginning_Balance,""), "")</f>
        <v>139073780.74838072</v>
      </c>
      <c r="E216" s="394">
        <f>IFERROR(IF(Loan_Not_Paid*Values_Entered,Monthly_Payment,""), "")</f>
        <v>1291710.1497487591</v>
      </c>
      <c r="F216" s="394">
        <f>IFERROR(IF(Loan_Not_Paid*Values_Entered,Principal,""), "")</f>
        <v>538393.83736170351</v>
      </c>
      <c r="G216" s="394">
        <f>IFERROR(IF(Loan_Not_Paid*Values_Entered,Interest,""), "")</f>
        <v>753316.31238705583</v>
      </c>
      <c r="H216" s="394">
        <f>IFERROR(IF(Loan_Not_Paid*Values_Entered,Ending_Balance,""), "")</f>
        <v>138535386.91101891</v>
      </c>
    </row>
    <row r="217" spans="2:8">
      <c r="B217" s="396">
        <f>IFERROR(IF(Loan_Not_Paid*Values_Entered,Payment_Number,""), "")</f>
        <v>200</v>
      </c>
      <c r="C217" s="395"/>
      <c r="D217" s="394">
        <f>IFERROR(IF(Loan_Not_Paid*Values_Entered,Beginning_Balance,""), "")</f>
        <v>138535386.91101891</v>
      </c>
      <c r="E217" s="394">
        <f>IFERROR(IF(Loan_Not_Paid*Values_Entered,Monthly_Payment,""), "")</f>
        <v>1291710.1497487591</v>
      </c>
      <c r="F217" s="394">
        <f>IFERROR(IF(Loan_Not_Paid*Values_Entered,Principal,""), "")</f>
        <v>541310.13731407945</v>
      </c>
      <c r="G217" s="394">
        <f>IFERROR(IF(Loan_Not_Paid*Values_Entered,Interest,""), "")</f>
        <v>750400.01243467978</v>
      </c>
      <c r="H217" s="394">
        <f>IFERROR(IF(Loan_Not_Paid*Values_Entered,Ending_Balance,""), "")</f>
        <v>137994076.77370495</v>
      </c>
    </row>
    <row r="218" spans="2:8">
      <c r="B218" s="396">
        <f>IFERROR(IF(Loan_Not_Paid*Values_Entered,Payment_Number,""), "")</f>
        <v>201</v>
      </c>
      <c r="C218" s="395"/>
      <c r="D218" s="394">
        <f>IFERROR(IF(Loan_Not_Paid*Values_Entered,Beginning_Balance,""), "")</f>
        <v>137994076.77370495</v>
      </c>
      <c r="E218" s="394">
        <f>IFERROR(IF(Loan_Not_Paid*Values_Entered,Monthly_Payment,""), "")</f>
        <v>1291710.1497487591</v>
      </c>
      <c r="F218" s="394">
        <f>IFERROR(IF(Loan_Not_Paid*Values_Entered,Principal,""), "")</f>
        <v>544242.23389119725</v>
      </c>
      <c r="G218" s="394">
        <f>IFERROR(IF(Loan_Not_Paid*Values_Entered,Interest,""), "")</f>
        <v>747467.91585756175</v>
      </c>
      <c r="H218" s="394">
        <f>IFERROR(IF(Loan_Not_Paid*Values_Entered,Ending_Balance,""), "")</f>
        <v>137449834.5398137</v>
      </c>
    </row>
    <row r="219" spans="2:8">
      <c r="B219" s="396">
        <f>IFERROR(IF(Loan_Not_Paid*Values_Entered,Payment_Number,""), "")</f>
        <v>202</v>
      </c>
      <c r="C219" s="395"/>
      <c r="D219" s="394">
        <f>IFERROR(IF(Loan_Not_Paid*Values_Entered,Beginning_Balance,""), "")</f>
        <v>137449834.5398137</v>
      </c>
      <c r="E219" s="394">
        <f>IFERROR(IF(Loan_Not_Paid*Values_Entered,Monthly_Payment,""), "")</f>
        <v>1291710.1497487591</v>
      </c>
      <c r="F219" s="394">
        <f>IFERROR(IF(Loan_Not_Paid*Values_Entered,Principal,""), "")</f>
        <v>547190.21265810798</v>
      </c>
      <c r="G219" s="394">
        <f>IFERROR(IF(Loan_Not_Paid*Values_Entered,Interest,""), "")</f>
        <v>744519.93709065125</v>
      </c>
      <c r="H219" s="394">
        <f>IFERROR(IF(Loan_Not_Paid*Values_Entered,Ending_Balance,""), "")</f>
        <v>136902644.32715571</v>
      </c>
    </row>
    <row r="220" spans="2:8">
      <c r="B220" s="396">
        <f>IFERROR(IF(Loan_Not_Paid*Values_Entered,Payment_Number,""), "")</f>
        <v>203</v>
      </c>
      <c r="C220" s="395"/>
      <c r="D220" s="394">
        <f>IFERROR(IF(Loan_Not_Paid*Values_Entered,Beginning_Balance,""), "")</f>
        <v>136902644.32715571</v>
      </c>
      <c r="E220" s="394">
        <f>IFERROR(IF(Loan_Not_Paid*Values_Entered,Monthly_Payment,""), "")</f>
        <v>1291710.1497487591</v>
      </c>
      <c r="F220" s="394">
        <f>IFERROR(IF(Loan_Not_Paid*Values_Entered,Principal,""), "")</f>
        <v>550154.15964333934</v>
      </c>
      <c r="G220" s="394">
        <f>IFERROR(IF(Loan_Not_Paid*Values_Entered,Interest,""), "")</f>
        <v>741555.99010541954</v>
      </c>
      <c r="H220" s="394">
        <f>IFERROR(IF(Loan_Not_Paid*Values_Entered,Ending_Balance,""), "")</f>
        <v>136352490.16751242</v>
      </c>
    </row>
    <row r="221" spans="2:8">
      <c r="B221" s="396">
        <f>IFERROR(IF(Loan_Not_Paid*Values_Entered,Payment_Number,""), "")</f>
        <v>204</v>
      </c>
      <c r="C221" s="395"/>
      <c r="D221" s="394">
        <f>IFERROR(IF(Loan_Not_Paid*Values_Entered,Beginning_Balance,""), "")</f>
        <v>136352490.16751242</v>
      </c>
      <c r="E221" s="394">
        <f>IFERROR(IF(Loan_Not_Paid*Values_Entered,Monthly_Payment,""), "")</f>
        <v>1291710.1497487591</v>
      </c>
      <c r="F221" s="394">
        <f>IFERROR(IF(Loan_Not_Paid*Values_Entered,Principal,""), "")</f>
        <v>553134.16134140745</v>
      </c>
      <c r="G221" s="394">
        <f>IFERROR(IF(Loan_Not_Paid*Values_Entered,Interest,""), "")</f>
        <v>738575.98840735166</v>
      </c>
      <c r="H221" s="394">
        <f>IFERROR(IF(Loan_Not_Paid*Values_Entered,Ending_Balance,""), "")</f>
        <v>135799356.00617093</v>
      </c>
    </row>
    <row r="222" spans="2:8">
      <c r="B222" s="396">
        <f>IFERROR(IF(Loan_Not_Paid*Values_Entered,Payment_Number,""), "")</f>
        <v>205</v>
      </c>
      <c r="C222" s="395"/>
      <c r="D222" s="394">
        <f>IFERROR(IF(Loan_Not_Paid*Values_Entered,Beginning_Balance,""), "")</f>
        <v>135799356.00617093</v>
      </c>
      <c r="E222" s="394">
        <f>IFERROR(IF(Loan_Not_Paid*Values_Entered,Monthly_Payment,""), "")</f>
        <v>1291710.1497487591</v>
      </c>
      <c r="F222" s="394">
        <f>IFERROR(IF(Loan_Not_Paid*Values_Entered,Principal,""), "")</f>
        <v>556130.30471534003</v>
      </c>
      <c r="G222" s="394">
        <f>IFERROR(IF(Loan_Not_Paid*Values_Entered,Interest,""), "")</f>
        <v>735579.84503341897</v>
      </c>
      <c r="H222" s="394">
        <f>IFERROR(IF(Loan_Not_Paid*Values_Entered,Ending_Balance,""), "")</f>
        <v>135243225.70145559</v>
      </c>
    </row>
    <row r="223" spans="2:8">
      <c r="B223" s="396">
        <f>IFERROR(IF(Loan_Not_Paid*Values_Entered,Payment_Number,""), "")</f>
        <v>206</v>
      </c>
      <c r="C223" s="395"/>
      <c r="D223" s="394">
        <f>IFERROR(IF(Loan_Not_Paid*Values_Entered,Beginning_Balance,""), "")</f>
        <v>135243225.70145559</v>
      </c>
      <c r="E223" s="394">
        <f>IFERROR(IF(Loan_Not_Paid*Values_Entered,Monthly_Payment,""), "")</f>
        <v>1291710.1497487591</v>
      </c>
      <c r="F223" s="394">
        <f>IFERROR(IF(Loan_Not_Paid*Values_Entered,Principal,""), "")</f>
        <v>559142.67719921481</v>
      </c>
      <c r="G223" s="394">
        <f>IFERROR(IF(Loan_Not_Paid*Values_Entered,Interest,""), "")</f>
        <v>732567.47254954418</v>
      </c>
      <c r="H223" s="394">
        <f>IFERROR(IF(Loan_Not_Paid*Values_Entered,Ending_Balance,""), "")</f>
        <v>134684083.02425635</v>
      </c>
    </row>
    <row r="224" spans="2:8">
      <c r="B224" s="396">
        <f>IFERROR(IF(Loan_Not_Paid*Values_Entered,Payment_Number,""), "")</f>
        <v>207</v>
      </c>
      <c r="C224" s="395"/>
      <c r="D224" s="394">
        <f>IFERROR(IF(Loan_Not_Paid*Values_Entered,Beginning_Balance,""), "")</f>
        <v>134684083.02425635</v>
      </c>
      <c r="E224" s="394">
        <f>IFERROR(IF(Loan_Not_Paid*Values_Entered,Monthly_Payment,""), "")</f>
        <v>1291710.1497487591</v>
      </c>
      <c r="F224" s="394">
        <f>IFERROR(IF(Loan_Not_Paid*Values_Entered,Principal,""), "")</f>
        <v>562171.36670071061</v>
      </c>
      <c r="G224" s="394">
        <f>IFERROR(IF(Loan_Not_Paid*Values_Entered,Interest,""), "")</f>
        <v>729538.78304804862</v>
      </c>
      <c r="H224" s="394">
        <f>IFERROR(IF(Loan_Not_Paid*Values_Entered,Ending_Balance,""), "")</f>
        <v>134121911.6575557</v>
      </c>
    </row>
    <row r="225" spans="2:8">
      <c r="B225" s="396">
        <f>IFERROR(IF(Loan_Not_Paid*Values_Entered,Payment_Number,""), "")</f>
        <v>208</v>
      </c>
      <c r="C225" s="395"/>
      <c r="D225" s="394">
        <f>IFERROR(IF(Loan_Not_Paid*Values_Entered,Beginning_Balance,""), "")</f>
        <v>134121911.6575557</v>
      </c>
      <c r="E225" s="394">
        <f>IFERROR(IF(Loan_Not_Paid*Values_Entered,Monthly_Payment,""), "")</f>
        <v>1291710.1497487591</v>
      </c>
      <c r="F225" s="394">
        <f>IFERROR(IF(Loan_Not_Paid*Values_Entered,Principal,""), "")</f>
        <v>565216.46160367283</v>
      </c>
      <c r="G225" s="394">
        <f>IFERROR(IF(Loan_Not_Paid*Values_Entered,Interest,""), "")</f>
        <v>726493.68814508629</v>
      </c>
      <c r="H225" s="394">
        <f>IFERROR(IF(Loan_Not_Paid*Values_Entered,Ending_Balance,""), "")</f>
        <v>133556695.19595212</v>
      </c>
    </row>
    <row r="226" spans="2:8">
      <c r="B226" s="396">
        <f>IFERROR(IF(Loan_Not_Paid*Values_Entered,Payment_Number,""), "")</f>
        <v>209</v>
      </c>
      <c r="C226" s="395"/>
      <c r="D226" s="394">
        <f>IFERROR(IF(Loan_Not_Paid*Values_Entered,Beginning_Balance,""), "")</f>
        <v>133556695.19595212</v>
      </c>
      <c r="E226" s="394">
        <f>IFERROR(IF(Loan_Not_Paid*Values_Entered,Monthly_Payment,""), "")</f>
        <v>1291710.1497487591</v>
      </c>
      <c r="F226" s="394">
        <f>IFERROR(IF(Loan_Not_Paid*Values_Entered,Principal,""), "")</f>
        <v>568278.05077069264</v>
      </c>
      <c r="G226" s="394">
        <f>IFERROR(IF(Loan_Not_Paid*Values_Entered,Interest,""), "")</f>
        <v>723432.09897806635</v>
      </c>
      <c r="H226" s="394">
        <f>IFERROR(IF(Loan_Not_Paid*Values_Entered,Ending_Balance,""), "")</f>
        <v>132988417.14518136</v>
      </c>
    </row>
    <row r="227" spans="2:8">
      <c r="B227" s="396">
        <f>IFERROR(IF(Loan_Not_Paid*Values_Entered,Payment_Number,""), "")</f>
        <v>210</v>
      </c>
      <c r="C227" s="395"/>
      <c r="D227" s="394">
        <f>IFERROR(IF(Loan_Not_Paid*Values_Entered,Beginning_Balance,""), "")</f>
        <v>132988417.14518136</v>
      </c>
      <c r="E227" s="394">
        <f>IFERROR(IF(Loan_Not_Paid*Values_Entered,Monthly_Payment,""), "")</f>
        <v>1291710.1497487591</v>
      </c>
      <c r="F227" s="394">
        <f>IFERROR(IF(Loan_Not_Paid*Values_Entered,Principal,""), "")</f>
        <v>571356.22354570066</v>
      </c>
      <c r="G227" s="394">
        <f>IFERROR(IF(Loan_Not_Paid*Values_Entered,Interest,""), "")</f>
        <v>720353.92620305857</v>
      </c>
      <c r="H227" s="394">
        <f>IFERROR(IF(Loan_Not_Paid*Values_Entered,Ending_Balance,""), "")</f>
        <v>132417060.92163569</v>
      </c>
    </row>
    <row r="228" spans="2:8">
      <c r="B228" s="396">
        <f>IFERROR(IF(Loan_Not_Paid*Values_Entered,Payment_Number,""), "")</f>
        <v>211</v>
      </c>
      <c r="C228" s="395"/>
      <c r="D228" s="394">
        <f>IFERROR(IF(Loan_Not_Paid*Values_Entered,Beginning_Balance,""), "")</f>
        <v>132417060.92163569</v>
      </c>
      <c r="E228" s="394">
        <f>IFERROR(IF(Loan_Not_Paid*Values_Entered,Monthly_Payment,""), "")</f>
        <v>1291710.1497487591</v>
      </c>
      <c r="F228" s="394">
        <f>IFERROR(IF(Loan_Not_Paid*Values_Entered,Principal,""), "")</f>
        <v>574451.06975657307</v>
      </c>
      <c r="G228" s="394">
        <f>IFERROR(IF(Loan_Not_Paid*Values_Entered,Interest,""), "")</f>
        <v>717259.07999218593</v>
      </c>
      <c r="H228" s="394">
        <f>IFERROR(IF(Loan_Not_Paid*Values_Entered,Ending_Balance,""), "")</f>
        <v>131842609.85187912</v>
      </c>
    </row>
    <row r="229" spans="2:8">
      <c r="B229" s="396">
        <f>IFERROR(IF(Loan_Not_Paid*Values_Entered,Payment_Number,""), "")</f>
        <v>212</v>
      </c>
      <c r="C229" s="395"/>
      <c r="D229" s="394">
        <f>IFERROR(IF(Loan_Not_Paid*Values_Entered,Beginning_Balance,""), "")</f>
        <v>131842609.85187912</v>
      </c>
      <c r="E229" s="394">
        <f>IFERROR(IF(Loan_Not_Paid*Values_Entered,Monthly_Payment,""), "")</f>
        <v>1291710.1497487591</v>
      </c>
      <c r="F229" s="394">
        <f>IFERROR(IF(Loan_Not_Paid*Values_Entered,Principal,""), "")</f>
        <v>577562.6797177546</v>
      </c>
      <c r="G229" s="394">
        <f>IFERROR(IF(Loan_Not_Paid*Values_Entered,Interest,""), "")</f>
        <v>714147.47003100452</v>
      </c>
      <c r="H229" s="394">
        <f>IFERROR(IF(Loan_Not_Paid*Values_Entered,Ending_Balance,""), "")</f>
        <v>131265047.17216134</v>
      </c>
    </row>
    <row r="230" spans="2:8">
      <c r="B230" s="396">
        <f>IFERROR(IF(Loan_Not_Paid*Values_Entered,Payment_Number,""), "")</f>
        <v>213</v>
      </c>
      <c r="C230" s="395"/>
      <c r="D230" s="394">
        <f>IFERROR(IF(Loan_Not_Paid*Values_Entered,Beginning_Balance,""), "")</f>
        <v>131265047.17216134</v>
      </c>
      <c r="E230" s="394">
        <f>IFERROR(IF(Loan_Not_Paid*Values_Entered,Monthly_Payment,""), "")</f>
        <v>1291710.1497487591</v>
      </c>
      <c r="F230" s="394">
        <f>IFERROR(IF(Loan_Not_Paid*Values_Entered,Principal,""), "")</f>
        <v>580691.14423289243</v>
      </c>
      <c r="G230" s="394">
        <f>IFERROR(IF(Loan_Not_Paid*Values_Entered,Interest,""), "")</f>
        <v>711019.00551586668</v>
      </c>
      <c r="H230" s="394">
        <f>IFERROR(IF(Loan_Not_Paid*Values_Entered,Ending_Balance,""), "")</f>
        <v>130684356.02792853</v>
      </c>
    </row>
    <row r="231" spans="2:8">
      <c r="B231" s="396">
        <f>IFERROR(IF(Loan_Not_Paid*Values_Entered,Payment_Number,""), "")</f>
        <v>214</v>
      </c>
      <c r="C231" s="395"/>
      <c r="D231" s="394">
        <f>IFERROR(IF(Loan_Not_Paid*Values_Entered,Beginning_Balance,""), "")</f>
        <v>130684356.02792853</v>
      </c>
      <c r="E231" s="394">
        <f>IFERROR(IF(Loan_Not_Paid*Values_Entered,Monthly_Payment,""), "")</f>
        <v>1291710.1497487591</v>
      </c>
      <c r="F231" s="394">
        <f>IFERROR(IF(Loan_Not_Paid*Values_Entered,Principal,""), "")</f>
        <v>583836.55459748721</v>
      </c>
      <c r="G231" s="394">
        <f>IFERROR(IF(Loan_Not_Paid*Values_Entered,Interest,""), "")</f>
        <v>707873.59515127179</v>
      </c>
      <c r="H231" s="394">
        <f>IFERROR(IF(Loan_Not_Paid*Values_Entered,Ending_Balance,""), "")</f>
        <v>130100519.47333103</v>
      </c>
    </row>
    <row r="232" spans="2:8">
      <c r="B232" s="396">
        <f>IFERROR(IF(Loan_Not_Paid*Values_Entered,Payment_Number,""), "")</f>
        <v>215</v>
      </c>
      <c r="C232" s="395"/>
      <c r="D232" s="394">
        <f>IFERROR(IF(Loan_Not_Paid*Values_Entered,Beginning_Balance,""), "")</f>
        <v>130100519.47333103</v>
      </c>
      <c r="E232" s="394">
        <f>IFERROR(IF(Loan_Not_Paid*Values_Entered,Monthly_Payment,""), "")</f>
        <v>1291710.1497487591</v>
      </c>
      <c r="F232" s="394">
        <f>IFERROR(IF(Loan_Not_Paid*Values_Entered,Principal,""), "")</f>
        <v>586999.00260155695</v>
      </c>
      <c r="G232" s="394">
        <f>IFERROR(IF(Loan_Not_Paid*Values_Entered,Interest,""), "")</f>
        <v>704711.14714720217</v>
      </c>
      <c r="H232" s="394">
        <f>IFERROR(IF(Loan_Not_Paid*Values_Entered,Ending_Balance,""), "")</f>
        <v>129513520.47072953</v>
      </c>
    </row>
    <row r="233" spans="2:8">
      <c r="B233" s="396">
        <f>IFERROR(IF(Loan_Not_Paid*Values_Entered,Payment_Number,""), "")</f>
        <v>216</v>
      </c>
      <c r="C233" s="395"/>
      <c r="D233" s="394">
        <f>IFERROR(IF(Loan_Not_Paid*Values_Entered,Beginning_Balance,""), "")</f>
        <v>129513520.47072953</v>
      </c>
      <c r="E233" s="394">
        <f>IFERROR(IF(Loan_Not_Paid*Values_Entered,Monthly_Payment,""), "")</f>
        <v>1291710.1497487591</v>
      </c>
      <c r="F233" s="394">
        <f>IFERROR(IF(Loan_Not_Paid*Values_Entered,Principal,""), "")</f>
        <v>590178.58053231542</v>
      </c>
      <c r="G233" s="394">
        <f>IFERROR(IF(Loan_Not_Paid*Values_Entered,Interest,""), "")</f>
        <v>701531.56921644369</v>
      </c>
      <c r="H233" s="394">
        <f>IFERROR(IF(Loan_Not_Paid*Values_Entered,Ending_Balance,""), "")</f>
        <v>128923341.89019716</v>
      </c>
    </row>
    <row r="234" spans="2:8">
      <c r="B234" s="396">
        <f>IFERROR(IF(Loan_Not_Paid*Values_Entered,Payment_Number,""), "")</f>
        <v>217</v>
      </c>
      <c r="C234" s="395"/>
      <c r="D234" s="394">
        <f>IFERROR(IF(Loan_Not_Paid*Values_Entered,Beginning_Balance,""), "")</f>
        <v>128923341.89019716</v>
      </c>
      <c r="E234" s="394">
        <f>IFERROR(IF(Loan_Not_Paid*Values_Entered,Monthly_Payment,""), "")</f>
        <v>1291710.1497487591</v>
      </c>
      <c r="F234" s="394">
        <f>IFERROR(IF(Loan_Not_Paid*Values_Entered,Principal,""), "")</f>
        <v>593375.38117686543</v>
      </c>
      <c r="G234" s="394">
        <f>IFERROR(IF(Loan_Not_Paid*Values_Entered,Interest,""), "")</f>
        <v>698334.76857189357</v>
      </c>
      <c r="H234" s="394">
        <f>IFERROR(IF(Loan_Not_Paid*Values_Entered,Ending_Balance,""), "")</f>
        <v>128329966.50902033</v>
      </c>
    </row>
    <row r="235" spans="2:8">
      <c r="B235" s="396">
        <f>IFERROR(IF(Loan_Not_Paid*Values_Entered,Payment_Number,""), "")</f>
        <v>218</v>
      </c>
      <c r="C235" s="395"/>
      <c r="D235" s="394">
        <f>IFERROR(IF(Loan_Not_Paid*Values_Entered,Beginning_Balance,""), "")</f>
        <v>128329966.50902033</v>
      </c>
      <c r="E235" s="394">
        <f>IFERROR(IF(Loan_Not_Paid*Values_Entered,Monthly_Payment,""), "")</f>
        <v>1291710.1497487591</v>
      </c>
      <c r="F235" s="394">
        <f>IFERROR(IF(Loan_Not_Paid*Values_Entered,Principal,""), "")</f>
        <v>596589.49782490684</v>
      </c>
      <c r="G235" s="394">
        <f>IFERROR(IF(Loan_Not_Paid*Values_Entered,Interest,""), "")</f>
        <v>695120.65192385227</v>
      </c>
      <c r="H235" s="394">
        <f>IFERROR(IF(Loan_Not_Paid*Values_Entered,Ending_Balance,""), "")</f>
        <v>127733377.01119548</v>
      </c>
    </row>
    <row r="236" spans="2:8">
      <c r="B236" s="396">
        <f>IFERROR(IF(Loan_Not_Paid*Values_Entered,Payment_Number,""), "")</f>
        <v>219</v>
      </c>
      <c r="C236" s="395"/>
      <c r="D236" s="394">
        <f>IFERROR(IF(Loan_Not_Paid*Values_Entered,Beginning_Balance,""), "")</f>
        <v>127733377.01119548</v>
      </c>
      <c r="E236" s="394">
        <f>IFERROR(IF(Loan_Not_Paid*Values_Entered,Monthly_Payment,""), "")</f>
        <v>1291710.1497487591</v>
      </c>
      <c r="F236" s="394">
        <f>IFERROR(IF(Loan_Not_Paid*Values_Entered,Principal,""), "")</f>
        <v>599821.02427145839</v>
      </c>
      <c r="G236" s="394">
        <f>IFERROR(IF(Loan_Not_Paid*Values_Entered,Interest,""), "")</f>
        <v>691889.12547730072</v>
      </c>
      <c r="H236" s="394">
        <f>IFERROR(IF(Loan_Not_Paid*Values_Entered,Ending_Balance,""), "")</f>
        <v>127133555.98692393</v>
      </c>
    </row>
    <row r="237" spans="2:8">
      <c r="B237" s="396">
        <f>IFERROR(IF(Loan_Not_Paid*Values_Entered,Payment_Number,""), "")</f>
        <v>220</v>
      </c>
      <c r="C237" s="395"/>
      <c r="D237" s="394">
        <f>IFERROR(IF(Loan_Not_Paid*Values_Entered,Beginning_Balance,""), "")</f>
        <v>127133555.98692393</v>
      </c>
      <c r="E237" s="394">
        <f>IFERROR(IF(Loan_Not_Paid*Values_Entered,Monthly_Payment,""), "")</f>
        <v>1291710.1497487591</v>
      </c>
      <c r="F237" s="394">
        <f>IFERROR(IF(Loan_Not_Paid*Values_Entered,Principal,""), "")</f>
        <v>603070.05481959542</v>
      </c>
      <c r="G237" s="394">
        <f>IFERROR(IF(Loan_Not_Paid*Values_Entered,Interest,""), "")</f>
        <v>688640.09492916358</v>
      </c>
      <c r="H237" s="394">
        <f>IFERROR(IF(Loan_Not_Paid*Values_Entered,Ending_Balance,""), "")</f>
        <v>126530485.93210435</v>
      </c>
    </row>
    <row r="238" spans="2:8">
      <c r="B238" s="396">
        <f>IFERROR(IF(Loan_Not_Paid*Values_Entered,Payment_Number,""), "")</f>
        <v>221</v>
      </c>
      <c r="C238" s="395"/>
      <c r="D238" s="394">
        <f>IFERROR(IF(Loan_Not_Paid*Values_Entered,Beginning_Balance,""), "")</f>
        <v>126530485.93210435</v>
      </c>
      <c r="E238" s="394">
        <f>IFERROR(IF(Loan_Not_Paid*Values_Entered,Monthly_Payment,""), "")</f>
        <v>1291710.1497487591</v>
      </c>
      <c r="F238" s="394">
        <f>IFERROR(IF(Loan_Not_Paid*Values_Entered,Principal,""), "")</f>
        <v>606336.68428320158</v>
      </c>
      <c r="G238" s="394">
        <f>IFERROR(IF(Loan_Not_Paid*Values_Entered,Interest,""), "")</f>
        <v>685373.46546555753</v>
      </c>
      <c r="H238" s="394">
        <f>IFERROR(IF(Loan_Not_Paid*Values_Entered,Ending_Balance,""), "")</f>
        <v>125924149.24782121</v>
      </c>
    </row>
    <row r="239" spans="2:8">
      <c r="B239" s="396">
        <f>IFERROR(IF(Loan_Not_Paid*Values_Entered,Payment_Number,""), "")</f>
        <v>222</v>
      </c>
      <c r="C239" s="395"/>
      <c r="D239" s="394">
        <f>IFERROR(IF(Loan_Not_Paid*Values_Entered,Beginning_Balance,""), "")</f>
        <v>125924149.24782121</v>
      </c>
      <c r="E239" s="394">
        <f>IFERROR(IF(Loan_Not_Paid*Values_Entered,Monthly_Payment,""), "")</f>
        <v>1291710.1497487591</v>
      </c>
      <c r="F239" s="394">
        <f>IFERROR(IF(Loan_Not_Paid*Values_Entered,Principal,""), "")</f>
        <v>609621.00798973569</v>
      </c>
      <c r="G239" s="394">
        <f>IFERROR(IF(Loan_Not_Paid*Values_Entered,Interest,""), "")</f>
        <v>682089.14175902354</v>
      </c>
      <c r="H239" s="394">
        <f>IFERROR(IF(Loan_Not_Paid*Values_Entered,Ending_Balance,""), "")</f>
        <v>125314528.23983145</v>
      </c>
    </row>
    <row r="240" spans="2:8">
      <c r="B240" s="396">
        <f>IFERROR(IF(Loan_Not_Paid*Values_Entered,Payment_Number,""), "")</f>
        <v>223</v>
      </c>
      <c r="C240" s="395"/>
      <c r="D240" s="394">
        <f>IFERROR(IF(Loan_Not_Paid*Values_Entered,Beginning_Balance,""), "")</f>
        <v>125314528.23983145</v>
      </c>
      <c r="E240" s="394">
        <f>IFERROR(IF(Loan_Not_Paid*Values_Entered,Monthly_Payment,""), "")</f>
        <v>1291710.1497487591</v>
      </c>
      <c r="F240" s="394">
        <f>IFERROR(IF(Loan_Not_Paid*Values_Entered,Principal,""), "")</f>
        <v>612923.12178301334</v>
      </c>
      <c r="G240" s="394">
        <f>IFERROR(IF(Loan_Not_Paid*Values_Entered,Interest,""), "")</f>
        <v>678787.02796574566</v>
      </c>
      <c r="H240" s="394">
        <f>IFERROR(IF(Loan_Not_Paid*Values_Entered,Ending_Balance,""), "")</f>
        <v>124701605.11804855</v>
      </c>
    </row>
    <row r="241" spans="2:8">
      <c r="B241" s="396">
        <f>IFERROR(IF(Loan_Not_Paid*Values_Entered,Payment_Number,""), "")</f>
        <v>224</v>
      </c>
      <c r="C241" s="395"/>
      <c r="D241" s="394">
        <f>IFERROR(IF(Loan_Not_Paid*Values_Entered,Beginning_Balance,""), "")</f>
        <v>124701605.11804855</v>
      </c>
      <c r="E241" s="394">
        <f>IFERROR(IF(Loan_Not_Paid*Values_Entered,Monthly_Payment,""), "")</f>
        <v>1291710.1497487591</v>
      </c>
      <c r="F241" s="394">
        <f>IFERROR(IF(Loan_Not_Paid*Values_Entered,Principal,""), "")</f>
        <v>616243.12202600471</v>
      </c>
      <c r="G241" s="394">
        <f>IFERROR(IF(Loan_Not_Paid*Values_Entered,Interest,""), "")</f>
        <v>675467.0277227544</v>
      </c>
      <c r="H241" s="394">
        <f>IFERROR(IF(Loan_Not_Paid*Values_Entered,Ending_Balance,""), "")</f>
        <v>124085361.99602246</v>
      </c>
    </row>
    <row r="242" spans="2:8">
      <c r="B242" s="396">
        <f>IFERROR(IF(Loan_Not_Paid*Values_Entered,Payment_Number,""), "")</f>
        <v>225</v>
      </c>
      <c r="C242" s="395"/>
      <c r="D242" s="394">
        <f>IFERROR(IF(Loan_Not_Paid*Values_Entered,Beginning_Balance,""), "")</f>
        <v>124085361.99602246</v>
      </c>
      <c r="E242" s="394">
        <f>IFERROR(IF(Loan_Not_Paid*Values_Entered,Monthly_Payment,""), "")</f>
        <v>1291710.1497487591</v>
      </c>
      <c r="F242" s="394">
        <f>IFERROR(IF(Loan_Not_Paid*Values_Entered,Principal,""), "")</f>
        <v>619581.10560364544</v>
      </c>
      <c r="G242" s="394">
        <f>IFERROR(IF(Loan_Not_Paid*Values_Entered,Interest,""), "")</f>
        <v>672129.04414511367</v>
      </c>
      <c r="H242" s="394">
        <f>IFERROR(IF(Loan_Not_Paid*Values_Entered,Ending_Balance,""), "")</f>
        <v>123465780.89041889</v>
      </c>
    </row>
    <row r="243" spans="2:8">
      <c r="B243" s="396">
        <f>IFERROR(IF(Loan_Not_Paid*Values_Entered,Payment_Number,""), "")</f>
        <v>226</v>
      </c>
      <c r="C243" s="395"/>
      <c r="D243" s="394">
        <f>IFERROR(IF(Loan_Not_Paid*Values_Entered,Beginning_Balance,""), "")</f>
        <v>123465780.89041889</v>
      </c>
      <c r="E243" s="394">
        <f>IFERROR(IF(Loan_Not_Paid*Values_Entered,Monthly_Payment,""), "")</f>
        <v>1291710.1497487591</v>
      </c>
      <c r="F243" s="394">
        <f>IFERROR(IF(Loan_Not_Paid*Values_Entered,Principal,""), "")</f>
        <v>622937.16992566525</v>
      </c>
      <c r="G243" s="394">
        <f>IFERROR(IF(Loan_Not_Paid*Values_Entered,Interest,""), "")</f>
        <v>668772.97982309374</v>
      </c>
      <c r="H243" s="394">
        <f>IFERROR(IF(Loan_Not_Paid*Values_Entered,Ending_Balance,""), "")</f>
        <v>122842843.7204932</v>
      </c>
    </row>
    <row r="244" spans="2:8">
      <c r="B244" s="396">
        <f>IFERROR(IF(Loan_Not_Paid*Values_Entered,Payment_Number,""), "")</f>
        <v>227</v>
      </c>
      <c r="C244" s="395"/>
      <c r="D244" s="394">
        <f>IFERROR(IF(Loan_Not_Paid*Values_Entered,Beginning_Balance,""), "")</f>
        <v>122842843.7204932</v>
      </c>
      <c r="E244" s="394">
        <f>IFERROR(IF(Loan_Not_Paid*Values_Entered,Monthly_Payment,""), "")</f>
        <v>1291710.1497487591</v>
      </c>
      <c r="F244" s="394">
        <f>IFERROR(IF(Loan_Not_Paid*Values_Entered,Principal,""), "")</f>
        <v>626311.41292942921</v>
      </c>
      <c r="G244" s="394">
        <f>IFERROR(IF(Loan_Not_Paid*Values_Entered,Interest,""), "")</f>
        <v>665398.7368193299</v>
      </c>
      <c r="H244" s="394">
        <f>IFERROR(IF(Loan_Not_Paid*Values_Entered,Ending_Balance,""), "")</f>
        <v>122216532.30756378</v>
      </c>
    </row>
    <row r="245" spans="2:8">
      <c r="B245" s="396">
        <f>IFERROR(IF(Loan_Not_Paid*Values_Entered,Payment_Number,""), "")</f>
        <v>228</v>
      </c>
      <c r="C245" s="395"/>
      <c r="D245" s="394">
        <f>IFERROR(IF(Loan_Not_Paid*Values_Entered,Beginning_Balance,""), "")</f>
        <v>122216532.30756378</v>
      </c>
      <c r="E245" s="394">
        <f>IFERROR(IF(Loan_Not_Paid*Values_Entered,Monthly_Payment,""), "")</f>
        <v>1291710.1497487591</v>
      </c>
      <c r="F245" s="394">
        <f>IFERROR(IF(Loan_Not_Paid*Values_Entered,Principal,""), "")</f>
        <v>629703.93308279698</v>
      </c>
      <c r="G245" s="394">
        <f>IFERROR(IF(Loan_Not_Paid*Values_Entered,Interest,""), "")</f>
        <v>662006.21666596213</v>
      </c>
      <c r="H245" s="394">
        <f>IFERROR(IF(Loan_Not_Paid*Values_Entered,Ending_Balance,""), "")</f>
        <v>121586828.37448108</v>
      </c>
    </row>
    <row r="246" spans="2:8">
      <c r="B246" s="396">
        <f>IFERROR(IF(Loan_Not_Paid*Values_Entered,Payment_Number,""), "")</f>
        <v>229</v>
      </c>
      <c r="C246" s="395"/>
      <c r="D246" s="394">
        <f>IFERROR(IF(Loan_Not_Paid*Values_Entered,Beginning_Balance,""), "")</f>
        <v>121586828.37448108</v>
      </c>
      <c r="E246" s="394">
        <f>IFERROR(IF(Loan_Not_Paid*Values_Entered,Monthly_Payment,""), "")</f>
        <v>1291710.1497487591</v>
      </c>
      <c r="F246" s="394">
        <f>IFERROR(IF(Loan_Not_Paid*Values_Entered,Principal,""), "")</f>
        <v>633114.82938699564</v>
      </c>
      <c r="G246" s="394">
        <f>IFERROR(IF(Loan_Not_Paid*Values_Entered,Interest,""), "")</f>
        <v>658595.32036176347</v>
      </c>
      <c r="H246" s="394">
        <f>IFERROR(IF(Loan_Not_Paid*Values_Entered,Ending_Balance,""), "")</f>
        <v>120953713.54509413</v>
      </c>
    </row>
    <row r="247" spans="2:8">
      <c r="B247" s="396">
        <f>IFERROR(IF(Loan_Not_Paid*Values_Entered,Payment_Number,""), "")</f>
        <v>230</v>
      </c>
      <c r="C247" s="395"/>
      <c r="D247" s="394">
        <f>IFERROR(IF(Loan_Not_Paid*Values_Entered,Beginning_Balance,""), "")</f>
        <v>120953713.54509413</v>
      </c>
      <c r="E247" s="394">
        <f>IFERROR(IF(Loan_Not_Paid*Values_Entered,Monthly_Payment,""), "")</f>
        <v>1291710.1497487591</v>
      </c>
      <c r="F247" s="394">
        <f>IFERROR(IF(Loan_Not_Paid*Values_Entered,Principal,""), "")</f>
        <v>636544.20137950836</v>
      </c>
      <c r="G247" s="394">
        <f>IFERROR(IF(Loan_Not_Paid*Values_Entered,Interest,""), "")</f>
        <v>655165.94836925075</v>
      </c>
      <c r="H247" s="394">
        <f>IFERROR(IF(Loan_Not_Paid*Values_Entered,Ending_Balance,""), "")</f>
        <v>120317169.34371459</v>
      </c>
    </row>
    <row r="248" spans="2:8">
      <c r="B248" s="396">
        <f>IFERROR(IF(Loan_Not_Paid*Values_Entered,Payment_Number,""), "")</f>
        <v>231</v>
      </c>
      <c r="C248" s="395"/>
      <c r="D248" s="394">
        <f>IFERROR(IF(Loan_Not_Paid*Values_Entered,Beginning_Balance,""), "")</f>
        <v>120317169.34371459</v>
      </c>
      <c r="E248" s="394">
        <f>IFERROR(IF(Loan_Not_Paid*Values_Entered,Monthly_Payment,""), "")</f>
        <v>1291710.1497487591</v>
      </c>
      <c r="F248" s="394">
        <f>IFERROR(IF(Loan_Not_Paid*Values_Entered,Principal,""), "")</f>
        <v>639992.14913698076</v>
      </c>
      <c r="G248" s="394">
        <f>IFERROR(IF(Loan_Not_Paid*Values_Entered,Interest,""), "")</f>
        <v>651718.00061177835</v>
      </c>
      <c r="H248" s="394">
        <f>IFERROR(IF(Loan_Not_Paid*Values_Entered,Ending_Balance,""), "")</f>
        <v>119677177.19457757</v>
      </c>
    </row>
    <row r="249" spans="2:8">
      <c r="B249" s="396">
        <f>IFERROR(IF(Loan_Not_Paid*Values_Entered,Payment_Number,""), "")</f>
        <v>232</v>
      </c>
      <c r="C249" s="395"/>
      <c r="D249" s="394">
        <f>IFERROR(IF(Loan_Not_Paid*Values_Entered,Beginning_Balance,""), "")</f>
        <v>119677177.19457757</v>
      </c>
      <c r="E249" s="394">
        <f>IFERROR(IF(Loan_Not_Paid*Values_Entered,Monthly_Payment,""), "")</f>
        <v>1291710.1497487591</v>
      </c>
      <c r="F249" s="394">
        <f>IFERROR(IF(Loan_Not_Paid*Values_Entered,Principal,""), "")</f>
        <v>643458.77327813942</v>
      </c>
      <c r="G249" s="394">
        <f>IFERROR(IF(Loan_Not_Paid*Values_Entered,Interest,""), "")</f>
        <v>648251.3764706197</v>
      </c>
      <c r="H249" s="394">
        <f>IFERROR(IF(Loan_Not_Paid*Values_Entered,Ending_Balance,""), "")</f>
        <v>119033718.42129946</v>
      </c>
    </row>
    <row r="250" spans="2:8">
      <c r="B250" s="396">
        <f>IFERROR(IF(Loan_Not_Paid*Values_Entered,Payment_Number,""), "")</f>
        <v>233</v>
      </c>
      <c r="C250" s="395"/>
      <c r="D250" s="394">
        <f>IFERROR(IF(Loan_Not_Paid*Values_Entered,Beginning_Balance,""), "")</f>
        <v>119033718.42129946</v>
      </c>
      <c r="E250" s="394">
        <f>IFERROR(IF(Loan_Not_Paid*Values_Entered,Monthly_Payment,""), "")</f>
        <v>1291710.1497487591</v>
      </c>
      <c r="F250" s="394">
        <f>IFERROR(IF(Loan_Not_Paid*Values_Entered,Principal,""), "")</f>
        <v>646944.17496672936</v>
      </c>
      <c r="G250" s="394">
        <f>IFERROR(IF(Loan_Not_Paid*Values_Entered,Interest,""), "")</f>
        <v>644765.97478202975</v>
      </c>
      <c r="H250" s="394">
        <f>IFERROR(IF(Loan_Not_Paid*Values_Entered,Ending_Balance,""), "")</f>
        <v>118386774.24633276</v>
      </c>
    </row>
    <row r="251" spans="2:8">
      <c r="B251" s="396">
        <f>IFERROR(IF(Loan_Not_Paid*Values_Entered,Payment_Number,""), "")</f>
        <v>234</v>
      </c>
      <c r="C251" s="395"/>
      <c r="D251" s="394">
        <f>IFERROR(IF(Loan_Not_Paid*Values_Entered,Beginning_Balance,""), "")</f>
        <v>118386774.24633276</v>
      </c>
      <c r="E251" s="394">
        <f>IFERROR(IF(Loan_Not_Paid*Values_Entered,Monthly_Payment,""), "")</f>
        <v>1291710.1497487591</v>
      </c>
      <c r="F251" s="394">
        <f>IFERROR(IF(Loan_Not_Paid*Values_Entered,Principal,""), "")</f>
        <v>650448.45591446583</v>
      </c>
      <c r="G251" s="394">
        <f>IFERROR(IF(Loan_Not_Paid*Values_Entered,Interest,""), "")</f>
        <v>641261.69383429317</v>
      </c>
      <c r="H251" s="394">
        <f>IFERROR(IF(Loan_Not_Paid*Values_Entered,Ending_Balance,""), "")</f>
        <v>117736325.79041827</v>
      </c>
    </row>
    <row r="252" spans="2:8">
      <c r="B252" s="396">
        <f>IFERROR(IF(Loan_Not_Paid*Values_Entered,Payment_Number,""), "")</f>
        <v>235</v>
      </c>
      <c r="C252" s="395"/>
      <c r="D252" s="394">
        <f>IFERROR(IF(Loan_Not_Paid*Values_Entered,Beginning_Balance,""), "")</f>
        <v>117736325.79041827</v>
      </c>
      <c r="E252" s="394">
        <f>IFERROR(IF(Loan_Not_Paid*Values_Entered,Monthly_Payment,""), "")</f>
        <v>1291710.1497487591</v>
      </c>
      <c r="F252" s="394">
        <f>IFERROR(IF(Loan_Not_Paid*Values_Entered,Principal,""), "")</f>
        <v>653971.71838400245</v>
      </c>
      <c r="G252" s="394">
        <f>IFERROR(IF(Loan_Not_Paid*Values_Entered,Interest,""), "")</f>
        <v>637738.43136475666</v>
      </c>
      <c r="H252" s="394">
        <f>IFERROR(IF(Loan_Not_Paid*Values_Entered,Ending_Balance,""), "")</f>
        <v>117082354.07203424</v>
      </c>
    </row>
    <row r="253" spans="2:8">
      <c r="B253" s="396">
        <f>IFERROR(IF(Loan_Not_Paid*Values_Entered,Payment_Number,""), "")</f>
        <v>236</v>
      </c>
      <c r="C253" s="395"/>
      <c r="D253" s="394">
        <f>IFERROR(IF(Loan_Not_Paid*Values_Entered,Beginning_Balance,""), "")</f>
        <v>117082354.07203424</v>
      </c>
      <c r="E253" s="394">
        <f>IFERROR(IF(Loan_Not_Paid*Values_Entered,Monthly_Payment,""), "")</f>
        <v>1291710.1497487591</v>
      </c>
      <c r="F253" s="394">
        <f>IFERROR(IF(Loan_Not_Paid*Values_Entered,Principal,""), "")</f>
        <v>657514.06519191584</v>
      </c>
      <c r="G253" s="394">
        <f>IFERROR(IF(Loan_Not_Paid*Values_Entered,Interest,""), "")</f>
        <v>634196.08455684339</v>
      </c>
      <c r="H253" s="394">
        <f>IFERROR(IF(Loan_Not_Paid*Values_Entered,Ending_Balance,""), "")</f>
        <v>116424840.00684237</v>
      </c>
    </row>
    <row r="254" spans="2:8">
      <c r="B254" s="396">
        <f>IFERROR(IF(Loan_Not_Paid*Values_Entered,Payment_Number,""), "")</f>
        <v>237</v>
      </c>
      <c r="C254" s="395"/>
      <c r="D254" s="394">
        <f>IFERROR(IF(Loan_Not_Paid*Values_Entered,Beginning_Balance,""), "")</f>
        <v>116424840.00684237</v>
      </c>
      <c r="E254" s="394">
        <f>IFERROR(IF(Loan_Not_Paid*Values_Entered,Monthly_Payment,""), "")</f>
        <v>1291710.1497487591</v>
      </c>
      <c r="F254" s="394">
        <f>IFERROR(IF(Loan_Not_Paid*Values_Entered,Principal,""), "")</f>
        <v>661075.59971170535</v>
      </c>
      <c r="G254" s="394">
        <f>IFERROR(IF(Loan_Not_Paid*Values_Entered,Interest,""), "")</f>
        <v>630634.55003705376</v>
      </c>
      <c r="H254" s="394">
        <f>IFERROR(IF(Loan_Not_Paid*Values_Entered,Ending_Balance,""), "")</f>
        <v>115763764.40713072</v>
      </c>
    </row>
    <row r="255" spans="2:8">
      <c r="B255" s="396">
        <f>IFERROR(IF(Loan_Not_Paid*Values_Entered,Payment_Number,""), "")</f>
        <v>238</v>
      </c>
      <c r="C255" s="395"/>
      <c r="D255" s="394">
        <f>IFERROR(IF(Loan_Not_Paid*Values_Entered,Beginning_Balance,""), "")</f>
        <v>115763764.40713072</v>
      </c>
      <c r="E255" s="394">
        <f>IFERROR(IF(Loan_Not_Paid*Values_Entered,Monthly_Payment,""), "")</f>
        <v>1291710.1497487591</v>
      </c>
      <c r="F255" s="394">
        <f>IFERROR(IF(Loan_Not_Paid*Values_Entered,Principal,""), "")</f>
        <v>664656.42587681033</v>
      </c>
      <c r="G255" s="394">
        <f>IFERROR(IF(Loan_Not_Paid*Values_Entered,Interest,""), "")</f>
        <v>627053.72387194878</v>
      </c>
      <c r="H255" s="394">
        <f>IFERROR(IF(Loan_Not_Paid*Values_Entered,Ending_Balance,""), "")</f>
        <v>115099107.98125398</v>
      </c>
    </row>
    <row r="256" spans="2:8">
      <c r="B256" s="396">
        <f>IFERROR(IF(Loan_Not_Paid*Values_Entered,Payment_Number,""), "")</f>
        <v>239</v>
      </c>
      <c r="C256" s="395"/>
      <c r="D256" s="394">
        <f>IFERROR(IF(Loan_Not_Paid*Values_Entered,Beginning_Balance,""), "")</f>
        <v>115099107.98125398</v>
      </c>
      <c r="E256" s="394">
        <f>IFERROR(IF(Loan_Not_Paid*Values_Entered,Monthly_Payment,""), "")</f>
        <v>1291710.1497487591</v>
      </c>
      <c r="F256" s="394">
        <f>IFERROR(IF(Loan_Not_Paid*Values_Entered,Principal,""), "")</f>
        <v>668256.64818364324</v>
      </c>
      <c r="G256" s="394">
        <f>IFERROR(IF(Loan_Not_Paid*Values_Entered,Interest,""), "")</f>
        <v>623453.50156511588</v>
      </c>
      <c r="H256" s="394">
        <f>IFERROR(IF(Loan_Not_Paid*Values_Entered,Ending_Balance,""), "")</f>
        <v>114430851.33307028</v>
      </c>
    </row>
    <row r="257" spans="2:8">
      <c r="B257" s="396">
        <f>IFERROR(IF(Loan_Not_Paid*Values_Entered,Payment_Number,""), "")</f>
        <v>240</v>
      </c>
      <c r="C257" s="395"/>
      <c r="D257" s="394">
        <f>IFERROR(IF(Loan_Not_Paid*Values_Entered,Beginning_Balance,""), "")</f>
        <v>114430851.33307028</v>
      </c>
      <c r="E257" s="394">
        <f>IFERROR(IF(Loan_Not_Paid*Values_Entered,Monthly_Payment,""), "")</f>
        <v>1291710.1497487591</v>
      </c>
      <c r="F257" s="394">
        <f>IFERROR(IF(Loan_Not_Paid*Values_Entered,Principal,""), "")</f>
        <v>671876.37169463781</v>
      </c>
      <c r="G257" s="394">
        <f>IFERROR(IF(Loan_Not_Paid*Values_Entered,Interest,""), "")</f>
        <v>619833.7780541213</v>
      </c>
      <c r="H257" s="394">
        <f>IFERROR(IF(Loan_Not_Paid*Values_Entered,Ending_Balance,""), "")</f>
        <v>113758974.96137571</v>
      </c>
    </row>
    <row r="258" spans="2:8">
      <c r="B258" s="396">
        <f>IFERROR(IF(Loan_Not_Paid*Values_Entered,Payment_Number,""), "")</f>
        <v>241</v>
      </c>
      <c r="C258" s="395"/>
      <c r="D258" s="394">
        <f>IFERROR(IF(Loan_Not_Paid*Values_Entered,Beginning_Balance,""), "")</f>
        <v>113758974.96137571</v>
      </c>
      <c r="E258" s="394">
        <f>IFERROR(IF(Loan_Not_Paid*Values_Entered,Monthly_Payment,""), "")</f>
        <v>1291710.1497487591</v>
      </c>
      <c r="F258" s="394">
        <f>IFERROR(IF(Loan_Not_Paid*Values_Entered,Principal,""), "")</f>
        <v>675515.70204131724</v>
      </c>
      <c r="G258" s="394">
        <f>IFERROR(IF(Loan_Not_Paid*Values_Entered,Interest,""), "")</f>
        <v>616194.44770744187</v>
      </c>
      <c r="H258" s="394">
        <f>IFERROR(IF(Loan_Not_Paid*Values_Entered,Ending_Balance,""), "")</f>
        <v>113083459.25933444</v>
      </c>
    </row>
    <row r="259" spans="2:8">
      <c r="B259" s="396">
        <f>IFERROR(IF(Loan_Not_Paid*Values_Entered,Payment_Number,""), "")</f>
        <v>242</v>
      </c>
      <c r="C259" s="395"/>
      <c r="D259" s="394">
        <f>IFERROR(IF(Loan_Not_Paid*Values_Entered,Beginning_Balance,""), "")</f>
        <v>113083459.25933444</v>
      </c>
      <c r="E259" s="394">
        <f>IFERROR(IF(Loan_Not_Paid*Values_Entered,Monthly_Payment,""), "")</f>
        <v>1291710.1497487591</v>
      </c>
      <c r="F259" s="394">
        <f>IFERROR(IF(Loan_Not_Paid*Values_Entered,Principal,""), "")</f>
        <v>679174.74542737426</v>
      </c>
      <c r="G259" s="394">
        <f>IFERROR(IF(Loan_Not_Paid*Values_Entered,Interest,""), "")</f>
        <v>612535.40432138473</v>
      </c>
      <c r="H259" s="394">
        <f>IFERROR(IF(Loan_Not_Paid*Values_Entered,Ending_Balance,""), "")</f>
        <v>112404284.51390707</v>
      </c>
    </row>
    <row r="260" spans="2:8">
      <c r="B260" s="396">
        <f>IFERROR(IF(Loan_Not_Paid*Values_Entered,Payment_Number,""), "")</f>
        <v>243</v>
      </c>
      <c r="C260" s="395"/>
      <c r="D260" s="394">
        <f>IFERROR(IF(Loan_Not_Paid*Values_Entered,Beginning_Balance,""), "")</f>
        <v>112404284.51390707</v>
      </c>
      <c r="E260" s="394">
        <f>IFERROR(IF(Loan_Not_Paid*Values_Entered,Monthly_Payment,""), "")</f>
        <v>1291710.1497487591</v>
      </c>
      <c r="F260" s="394">
        <f>IFERROR(IF(Loan_Not_Paid*Values_Entered,Principal,""), "")</f>
        <v>682853.60863177257</v>
      </c>
      <c r="G260" s="394">
        <f>IFERROR(IF(Loan_Not_Paid*Values_Entered,Interest,""), "")</f>
        <v>608856.54111698642</v>
      </c>
      <c r="H260" s="394">
        <f>IFERROR(IF(Loan_Not_Paid*Values_Entered,Ending_Balance,""), "")</f>
        <v>111721430.90527523</v>
      </c>
    </row>
    <row r="261" spans="2:8">
      <c r="B261" s="396">
        <f>IFERROR(IF(Loan_Not_Paid*Values_Entered,Payment_Number,""), "")</f>
        <v>244</v>
      </c>
      <c r="C261" s="395"/>
      <c r="D261" s="394">
        <f>IFERROR(IF(Loan_Not_Paid*Values_Entered,Beginning_Balance,""), "")</f>
        <v>111721430.90527523</v>
      </c>
      <c r="E261" s="394">
        <f>IFERROR(IF(Loan_Not_Paid*Values_Entered,Monthly_Payment,""), "")</f>
        <v>1291710.1497487591</v>
      </c>
      <c r="F261" s="394">
        <f>IFERROR(IF(Loan_Not_Paid*Values_Entered,Principal,""), "")</f>
        <v>686552.39901186142</v>
      </c>
      <c r="G261" s="394">
        <f>IFERROR(IF(Loan_Not_Paid*Values_Entered,Interest,""), "")</f>
        <v>605157.75073689781</v>
      </c>
      <c r="H261" s="394">
        <f>IFERROR(IF(Loan_Not_Paid*Values_Entered,Ending_Balance,""), "")</f>
        <v>111034878.50626349</v>
      </c>
    </row>
    <row r="262" spans="2:8">
      <c r="B262" s="396">
        <f>IFERROR(IF(Loan_Not_Paid*Values_Entered,Payment_Number,""), "")</f>
        <v>245</v>
      </c>
      <c r="C262" s="395"/>
      <c r="D262" s="394">
        <f>IFERROR(IF(Loan_Not_Paid*Values_Entered,Beginning_Balance,""), "")</f>
        <v>111034878.50626349</v>
      </c>
      <c r="E262" s="394">
        <f>IFERROR(IF(Loan_Not_Paid*Values_Entered,Monthly_Payment,""), "")</f>
        <v>1291710.1497487591</v>
      </c>
      <c r="F262" s="394">
        <f>IFERROR(IF(Loan_Not_Paid*Values_Entered,Principal,""), "")</f>
        <v>690271.22450650902</v>
      </c>
      <c r="G262" s="394">
        <f>IFERROR(IF(Loan_Not_Paid*Values_Entered,Interest,""), "")</f>
        <v>601438.92524225009</v>
      </c>
      <c r="H262" s="394">
        <f>IFERROR(IF(Loan_Not_Paid*Values_Entered,Ending_Balance,""), "")</f>
        <v>110344607.281757</v>
      </c>
    </row>
    <row r="263" spans="2:8">
      <c r="B263" s="396">
        <f>IFERROR(IF(Loan_Not_Paid*Values_Entered,Payment_Number,""), "")</f>
        <v>246</v>
      </c>
      <c r="C263" s="395"/>
      <c r="D263" s="394">
        <f>IFERROR(IF(Loan_Not_Paid*Values_Entered,Beginning_Balance,""), "")</f>
        <v>110344607.281757</v>
      </c>
      <c r="E263" s="394">
        <f>IFERROR(IF(Loan_Not_Paid*Values_Entered,Monthly_Payment,""), "")</f>
        <v>1291710.1497487591</v>
      </c>
      <c r="F263" s="394">
        <f>IFERROR(IF(Loan_Not_Paid*Values_Entered,Principal,""), "")</f>
        <v>694010.19363925257</v>
      </c>
      <c r="G263" s="394">
        <f>IFERROR(IF(Loan_Not_Paid*Values_Entered,Interest,""), "")</f>
        <v>597699.95610950654</v>
      </c>
      <c r="H263" s="394">
        <f>IFERROR(IF(Loan_Not_Paid*Values_Entered,Ending_Balance,""), "")</f>
        <v>109650597.08811784</v>
      </c>
    </row>
    <row r="264" spans="2:8">
      <c r="B264" s="396">
        <f>IFERROR(IF(Loan_Not_Paid*Values_Entered,Payment_Number,""), "")</f>
        <v>247</v>
      </c>
      <c r="C264" s="395"/>
      <c r="D264" s="394">
        <f>IFERROR(IF(Loan_Not_Paid*Values_Entered,Beginning_Balance,""), "")</f>
        <v>109650597.08811784</v>
      </c>
      <c r="E264" s="394">
        <f>IFERROR(IF(Loan_Not_Paid*Values_Entered,Monthly_Payment,""), "")</f>
        <v>1291710.1497487591</v>
      </c>
      <c r="F264" s="394">
        <f>IFERROR(IF(Loan_Not_Paid*Values_Entered,Principal,""), "")</f>
        <v>697769.41552146524</v>
      </c>
      <c r="G264" s="394">
        <f>IFERROR(IF(Loan_Not_Paid*Values_Entered,Interest,""), "")</f>
        <v>593940.73422729399</v>
      </c>
      <c r="H264" s="394">
        <f>IFERROR(IF(Loan_Not_Paid*Values_Entered,Ending_Balance,""), "")</f>
        <v>108952827.67259622</v>
      </c>
    </row>
    <row r="265" spans="2:8">
      <c r="B265" s="396">
        <f>IFERROR(IF(Loan_Not_Paid*Values_Entered,Payment_Number,""), "")</f>
        <v>248</v>
      </c>
      <c r="C265" s="395"/>
      <c r="D265" s="394">
        <f>IFERROR(IF(Loan_Not_Paid*Values_Entered,Beginning_Balance,""), "")</f>
        <v>108952827.67259622</v>
      </c>
      <c r="E265" s="394">
        <f>IFERROR(IF(Loan_Not_Paid*Values_Entered,Monthly_Payment,""), "")</f>
        <v>1291710.1497487591</v>
      </c>
      <c r="F265" s="394">
        <f>IFERROR(IF(Loan_Not_Paid*Values_Entered,Principal,""), "")</f>
        <v>701548.99985553976</v>
      </c>
      <c r="G265" s="394">
        <f>IFERROR(IF(Loan_Not_Paid*Values_Entered,Interest,""), "")</f>
        <v>590161.14989321923</v>
      </c>
      <c r="H265" s="394">
        <f>IFERROR(IF(Loan_Not_Paid*Values_Entered,Ending_Balance,""), "")</f>
        <v>108251278.67274082</v>
      </c>
    </row>
    <row r="266" spans="2:8">
      <c r="B266" s="396">
        <f>IFERROR(IF(Loan_Not_Paid*Values_Entered,Payment_Number,""), "")</f>
        <v>249</v>
      </c>
      <c r="C266" s="395"/>
      <c r="D266" s="394">
        <f>IFERROR(IF(Loan_Not_Paid*Values_Entered,Beginning_Balance,""), "")</f>
        <v>108251278.67274082</v>
      </c>
      <c r="E266" s="394">
        <f>IFERROR(IF(Loan_Not_Paid*Values_Entered,Monthly_Payment,""), "")</f>
        <v>1291710.1497487591</v>
      </c>
      <c r="F266" s="394">
        <f>IFERROR(IF(Loan_Not_Paid*Values_Entered,Principal,""), "")</f>
        <v>705349.05693809048</v>
      </c>
      <c r="G266" s="394">
        <f>IFERROR(IF(Loan_Not_Paid*Values_Entered,Interest,""), "")</f>
        <v>586361.09281066852</v>
      </c>
      <c r="H266" s="394">
        <f>IFERROR(IF(Loan_Not_Paid*Values_Entered,Ending_Balance,""), "")</f>
        <v>107545929.61580276</v>
      </c>
    </row>
    <row r="267" spans="2:8">
      <c r="B267" s="396">
        <f>IFERROR(IF(Loan_Not_Paid*Values_Entered,Payment_Number,""), "")</f>
        <v>250</v>
      </c>
      <c r="C267" s="395"/>
      <c r="D267" s="394">
        <f>IFERROR(IF(Loan_Not_Paid*Values_Entered,Beginning_Balance,""), "")</f>
        <v>107545929.61580276</v>
      </c>
      <c r="E267" s="394">
        <f>IFERROR(IF(Loan_Not_Paid*Values_Entered,Monthly_Payment,""), "")</f>
        <v>1291710.1497487591</v>
      </c>
      <c r="F267" s="394">
        <f>IFERROR(IF(Loan_Not_Paid*Values_Entered,Principal,""), "")</f>
        <v>709169.69766317203</v>
      </c>
      <c r="G267" s="394">
        <f>IFERROR(IF(Loan_Not_Paid*Values_Entered,Interest,""), "")</f>
        <v>582540.45208558731</v>
      </c>
      <c r="H267" s="394">
        <f>IFERROR(IF(Loan_Not_Paid*Values_Entered,Ending_Balance,""), "")</f>
        <v>106836759.91813946</v>
      </c>
    </row>
    <row r="268" spans="2:8">
      <c r="B268" s="396">
        <f>IFERROR(IF(Loan_Not_Paid*Values_Entered,Payment_Number,""), "")</f>
        <v>251</v>
      </c>
      <c r="C268" s="395"/>
      <c r="D268" s="394">
        <f>IFERROR(IF(Loan_Not_Paid*Values_Entered,Beginning_Balance,""), "")</f>
        <v>106836759.91813946</v>
      </c>
      <c r="E268" s="394">
        <f>IFERROR(IF(Loan_Not_Paid*Values_Entered,Monthly_Payment,""), "")</f>
        <v>1291710.1497487591</v>
      </c>
      <c r="F268" s="394">
        <f>IFERROR(IF(Loan_Not_Paid*Values_Entered,Principal,""), "")</f>
        <v>713011.03352551418</v>
      </c>
      <c r="G268" s="394">
        <f>IFERROR(IF(Loan_Not_Paid*Values_Entered,Interest,""), "")</f>
        <v>578699.11622324504</v>
      </c>
      <c r="H268" s="394">
        <f>IFERROR(IF(Loan_Not_Paid*Values_Entered,Ending_Balance,""), "")</f>
        <v>106123748.88461399</v>
      </c>
    </row>
    <row r="269" spans="2:8">
      <c r="B269" s="396">
        <f>IFERROR(IF(Loan_Not_Paid*Values_Entered,Payment_Number,""), "")</f>
        <v>252</v>
      </c>
      <c r="C269" s="395"/>
      <c r="D269" s="394">
        <f>IFERROR(IF(Loan_Not_Paid*Values_Entered,Beginning_Balance,""), "")</f>
        <v>106123748.88461399</v>
      </c>
      <c r="E269" s="394">
        <f>IFERROR(IF(Loan_Not_Paid*Values_Entered,Monthly_Payment,""), "")</f>
        <v>1291710.1497487591</v>
      </c>
      <c r="F269" s="394">
        <f>IFERROR(IF(Loan_Not_Paid*Values_Entered,Principal,""), "")</f>
        <v>716873.17662377725</v>
      </c>
      <c r="G269" s="394">
        <f>IFERROR(IF(Loan_Not_Paid*Values_Entered,Interest,""), "")</f>
        <v>574836.97312498186</v>
      </c>
      <c r="H269" s="394">
        <f>IFERROR(IF(Loan_Not_Paid*Values_Entered,Ending_Balance,""), "")</f>
        <v>105406875.70799029</v>
      </c>
    </row>
    <row r="270" spans="2:8">
      <c r="B270" s="396">
        <f>IFERROR(IF(Loan_Not_Paid*Values_Entered,Payment_Number,""), "")</f>
        <v>253</v>
      </c>
      <c r="C270" s="395"/>
      <c r="D270" s="394">
        <f>IFERROR(IF(Loan_Not_Paid*Values_Entered,Beginning_Balance,""), "")</f>
        <v>105406875.70799029</v>
      </c>
      <c r="E270" s="394">
        <f>IFERROR(IF(Loan_Not_Paid*Values_Entered,Monthly_Payment,""), "")</f>
        <v>1291710.1497487591</v>
      </c>
      <c r="F270" s="394">
        <f>IFERROR(IF(Loan_Not_Paid*Values_Entered,Principal,""), "")</f>
        <v>720756.23966382269</v>
      </c>
      <c r="G270" s="394">
        <f>IFERROR(IF(Loan_Not_Paid*Values_Entered,Interest,""), "")</f>
        <v>570953.91008493642</v>
      </c>
      <c r="H270" s="394">
        <f>IFERROR(IF(Loan_Not_Paid*Values_Entered,Ending_Balance,""), "")</f>
        <v>104686119.46832645</v>
      </c>
    </row>
    <row r="271" spans="2:8">
      <c r="B271" s="396">
        <f>IFERROR(IF(Loan_Not_Paid*Values_Entered,Payment_Number,""), "")</f>
        <v>254</v>
      </c>
      <c r="C271" s="395"/>
      <c r="D271" s="394">
        <f>IFERROR(IF(Loan_Not_Paid*Values_Entered,Beginning_Balance,""), "")</f>
        <v>104686119.46832645</v>
      </c>
      <c r="E271" s="394">
        <f>IFERROR(IF(Loan_Not_Paid*Values_Entered,Monthly_Payment,""), "")</f>
        <v>1291710.1497487591</v>
      </c>
      <c r="F271" s="394">
        <f>IFERROR(IF(Loan_Not_Paid*Values_Entered,Principal,""), "")</f>
        <v>724660.33596200182</v>
      </c>
      <c r="G271" s="394">
        <f>IFERROR(IF(Loan_Not_Paid*Values_Entered,Interest,""), "")</f>
        <v>567049.8137867573</v>
      </c>
      <c r="H271" s="394">
        <f>IFERROR(IF(Loan_Not_Paid*Values_Entered,Ending_Balance,""), "")</f>
        <v>103961459.13236451</v>
      </c>
    </row>
    <row r="272" spans="2:8">
      <c r="B272" s="396">
        <f>IFERROR(IF(Loan_Not_Paid*Values_Entered,Payment_Number,""), "")</f>
        <v>255</v>
      </c>
      <c r="C272" s="395"/>
      <c r="D272" s="394">
        <f>IFERROR(IF(Loan_Not_Paid*Values_Entered,Beginning_Balance,""), "")</f>
        <v>103961459.13236451</v>
      </c>
      <c r="E272" s="394">
        <f>IFERROR(IF(Loan_Not_Paid*Values_Entered,Monthly_Payment,""), "")</f>
        <v>1291710.1497487591</v>
      </c>
      <c r="F272" s="394">
        <f>IFERROR(IF(Loan_Not_Paid*Values_Entered,Principal,""), "")</f>
        <v>728585.57944846258</v>
      </c>
      <c r="G272" s="394">
        <f>IFERROR(IF(Loan_Not_Paid*Values_Entered,Interest,""), "")</f>
        <v>563124.57030029641</v>
      </c>
      <c r="H272" s="394">
        <f>IFERROR(IF(Loan_Not_Paid*Values_Entered,Ending_Balance,""), "")</f>
        <v>103232873.55291605</v>
      </c>
    </row>
    <row r="273" spans="2:8">
      <c r="B273" s="396">
        <f>IFERROR(IF(Loan_Not_Paid*Values_Entered,Payment_Number,""), "")</f>
        <v>256</v>
      </c>
      <c r="C273" s="395"/>
      <c r="D273" s="394">
        <f>IFERROR(IF(Loan_Not_Paid*Values_Entered,Beginning_Balance,""), "")</f>
        <v>103232873.55291605</v>
      </c>
      <c r="E273" s="394">
        <f>IFERROR(IF(Loan_Not_Paid*Values_Entered,Monthly_Payment,""), "")</f>
        <v>1291710.1497487591</v>
      </c>
      <c r="F273" s="394">
        <f>IFERROR(IF(Loan_Not_Paid*Values_Entered,Principal,""), "")</f>
        <v>732532.0846704751</v>
      </c>
      <c r="G273" s="394">
        <f>IFERROR(IF(Loan_Not_Paid*Values_Entered,Interest,""), "")</f>
        <v>559178.06507828401</v>
      </c>
      <c r="H273" s="394">
        <f>IFERROR(IF(Loan_Not_Paid*Values_Entered,Ending_Balance,""), "")</f>
        <v>102500341.46824551</v>
      </c>
    </row>
    <row r="274" spans="2:8">
      <c r="B274" s="396">
        <f>IFERROR(IF(Loan_Not_Paid*Values_Entered,Payment_Number,""), "")</f>
        <v>257</v>
      </c>
      <c r="C274" s="395"/>
      <c r="D274" s="394">
        <f>IFERROR(IF(Loan_Not_Paid*Values_Entered,Beginning_Balance,""), "")</f>
        <v>102500341.46824551</v>
      </c>
      <c r="E274" s="394">
        <f>IFERROR(IF(Loan_Not_Paid*Values_Entered,Monthly_Payment,""), "")</f>
        <v>1291710.1497487591</v>
      </c>
      <c r="F274" s="394">
        <f>IFERROR(IF(Loan_Not_Paid*Values_Entered,Principal,""), "")</f>
        <v>736499.96679577359</v>
      </c>
      <c r="G274" s="394">
        <f>IFERROR(IF(Loan_Not_Paid*Values_Entered,Interest,""), "")</f>
        <v>555210.18295298552</v>
      </c>
      <c r="H274" s="394">
        <f>IFERROR(IF(Loan_Not_Paid*Values_Entered,Ending_Balance,""), "")</f>
        <v>101763841.50144982</v>
      </c>
    </row>
    <row r="275" spans="2:8">
      <c r="B275" s="396">
        <f>IFERROR(IF(Loan_Not_Paid*Values_Entered,Payment_Number,""), "")</f>
        <v>258</v>
      </c>
      <c r="C275" s="395"/>
      <c r="D275" s="394">
        <f>IFERROR(IF(Loan_Not_Paid*Values_Entered,Beginning_Balance,""), "")</f>
        <v>101763841.50144982</v>
      </c>
      <c r="E275" s="394">
        <f>IFERROR(IF(Loan_Not_Paid*Values_Entered,Monthly_Payment,""), "")</f>
        <v>1291710.1497487591</v>
      </c>
      <c r="F275" s="394">
        <f>IFERROR(IF(Loan_Not_Paid*Values_Entered,Principal,""), "")</f>
        <v>740489.34161591728</v>
      </c>
      <c r="G275" s="394">
        <f>IFERROR(IF(Loan_Not_Paid*Values_Entered,Interest,""), "")</f>
        <v>551220.80813284172</v>
      </c>
      <c r="H275" s="394">
        <f>IFERROR(IF(Loan_Not_Paid*Values_Entered,Ending_Balance,""), "")</f>
        <v>101023352.15983391</v>
      </c>
    </row>
    <row r="276" spans="2:8">
      <c r="B276" s="396">
        <f>IFERROR(IF(Loan_Not_Paid*Values_Entered,Payment_Number,""), "")</f>
        <v>259</v>
      </c>
      <c r="C276" s="395"/>
      <c r="D276" s="394">
        <f>IFERROR(IF(Loan_Not_Paid*Values_Entered,Beginning_Balance,""), "")</f>
        <v>101023352.15983391</v>
      </c>
      <c r="E276" s="394">
        <f>IFERROR(IF(Loan_Not_Paid*Values_Entered,Monthly_Payment,""), "")</f>
        <v>1291710.1497487591</v>
      </c>
      <c r="F276" s="394">
        <f>IFERROR(IF(Loan_Not_Paid*Values_Entered,Principal,""), "")</f>
        <v>744500.32554967026</v>
      </c>
      <c r="G276" s="394">
        <f>IFERROR(IF(Loan_Not_Paid*Values_Entered,Interest,""), "")</f>
        <v>547209.82419908885</v>
      </c>
      <c r="H276" s="394">
        <f>IFERROR(IF(Loan_Not_Paid*Values_Entered,Ending_Balance,""), "")</f>
        <v>100278851.83428431</v>
      </c>
    </row>
    <row r="277" spans="2:8">
      <c r="B277" s="396">
        <f>IFERROR(IF(Loan_Not_Paid*Values_Entered,Payment_Number,""), "")</f>
        <v>260</v>
      </c>
      <c r="C277" s="395"/>
      <c r="D277" s="394">
        <f>IFERROR(IF(Loan_Not_Paid*Values_Entered,Beginning_Balance,""), "")</f>
        <v>100278851.83428431</v>
      </c>
      <c r="E277" s="394">
        <f>IFERROR(IF(Loan_Not_Paid*Values_Entered,Monthly_Payment,""), "")</f>
        <v>1291710.1497487591</v>
      </c>
      <c r="F277" s="394">
        <f>IFERROR(IF(Loan_Not_Paid*Values_Entered,Principal,""), "")</f>
        <v>748533.0356463975</v>
      </c>
      <c r="G277" s="394">
        <f>IFERROR(IF(Loan_Not_Paid*Values_Entered,Interest,""), "")</f>
        <v>543177.11410236137</v>
      </c>
      <c r="H277" s="394">
        <f>IFERROR(IF(Loan_Not_Paid*Values_Entered,Ending_Balance,""), "")</f>
        <v>99530318.798637867</v>
      </c>
    </row>
    <row r="278" spans="2:8">
      <c r="B278" s="396">
        <f>IFERROR(IF(Loan_Not_Paid*Values_Entered,Payment_Number,""), "")</f>
        <v>261</v>
      </c>
      <c r="C278" s="395"/>
      <c r="D278" s="394">
        <f>IFERROR(IF(Loan_Not_Paid*Values_Entered,Beginning_Balance,""), "")</f>
        <v>99530318.798637867</v>
      </c>
      <c r="E278" s="394">
        <f>IFERROR(IF(Loan_Not_Paid*Values_Entered,Monthly_Payment,""), "")</f>
        <v>1291710.1497487591</v>
      </c>
      <c r="F278" s="394">
        <f>IFERROR(IF(Loan_Not_Paid*Values_Entered,Principal,""), "")</f>
        <v>752587.58958948229</v>
      </c>
      <c r="G278" s="394">
        <f>IFERROR(IF(Loan_Not_Paid*Values_Entered,Interest,""), "")</f>
        <v>539122.56015927694</v>
      </c>
      <c r="H278" s="394">
        <f>IFERROR(IF(Loan_Not_Paid*Values_Entered,Ending_Balance,""), "")</f>
        <v>98777731.20904839</v>
      </c>
    </row>
    <row r="279" spans="2:8">
      <c r="B279" s="396">
        <f>IFERROR(IF(Loan_Not_Paid*Values_Entered,Payment_Number,""), "")</f>
        <v>262</v>
      </c>
      <c r="C279" s="395"/>
      <c r="D279" s="394">
        <f>IFERROR(IF(Loan_Not_Paid*Values_Entered,Beginning_Balance,""), "")</f>
        <v>98777731.20904839</v>
      </c>
      <c r="E279" s="394">
        <f>IFERROR(IF(Loan_Not_Paid*Values_Entered,Monthly_Payment,""), "")</f>
        <v>1291710.1497487591</v>
      </c>
      <c r="F279" s="394">
        <f>IFERROR(IF(Loan_Not_Paid*Values_Entered,Principal,""), "")</f>
        <v>756664.10569975863</v>
      </c>
      <c r="G279" s="394">
        <f>IFERROR(IF(Loan_Not_Paid*Values_Entered,Interest,""), "")</f>
        <v>535046.04404900048</v>
      </c>
      <c r="H279" s="394">
        <f>IFERROR(IF(Loan_Not_Paid*Values_Entered,Ending_Balance,""), "")</f>
        <v>98021067.103348732</v>
      </c>
    </row>
    <row r="280" spans="2:8">
      <c r="B280" s="396">
        <f>IFERROR(IF(Loan_Not_Paid*Values_Entered,Payment_Number,""), "")</f>
        <v>263</v>
      </c>
      <c r="C280" s="395"/>
      <c r="D280" s="394">
        <f>IFERROR(IF(Loan_Not_Paid*Values_Entered,Beginning_Balance,""), "")</f>
        <v>98021067.103348732</v>
      </c>
      <c r="E280" s="394">
        <f>IFERROR(IF(Loan_Not_Paid*Values_Entered,Monthly_Payment,""), "")</f>
        <v>1291710.1497487591</v>
      </c>
      <c r="F280" s="394">
        <f>IFERROR(IF(Loan_Not_Paid*Values_Entered,Principal,""), "")</f>
        <v>760762.70293896575</v>
      </c>
      <c r="G280" s="394">
        <f>IFERROR(IF(Loan_Not_Paid*Values_Entered,Interest,""), "")</f>
        <v>530947.44680979347</v>
      </c>
      <c r="H280" s="394">
        <f>IFERROR(IF(Loan_Not_Paid*Values_Entered,Ending_Balance,""), "")</f>
        <v>97260304.400409818</v>
      </c>
    </row>
    <row r="281" spans="2:8">
      <c r="B281" s="396">
        <f>IFERROR(IF(Loan_Not_Paid*Values_Entered,Payment_Number,""), "")</f>
        <v>264</v>
      </c>
      <c r="C281" s="395"/>
      <c r="D281" s="394">
        <f>IFERROR(IF(Loan_Not_Paid*Values_Entered,Beginning_Balance,""), "")</f>
        <v>97260304.400409818</v>
      </c>
      <c r="E281" s="394">
        <f>IFERROR(IF(Loan_Not_Paid*Values_Entered,Monthly_Payment,""), "")</f>
        <v>1291710.1497487591</v>
      </c>
      <c r="F281" s="394">
        <f>IFERROR(IF(Loan_Not_Paid*Values_Entered,Principal,""), "")</f>
        <v>764883.50091321836</v>
      </c>
      <c r="G281" s="394">
        <f>IFERROR(IF(Loan_Not_Paid*Values_Entered,Interest,""), "")</f>
        <v>526826.64883554075</v>
      </c>
      <c r="H281" s="394">
        <f>IFERROR(IF(Loan_Not_Paid*Values_Entered,Ending_Balance,""), "")</f>
        <v>96495420.899496555</v>
      </c>
    </row>
    <row r="282" spans="2:8">
      <c r="B282" s="396">
        <f>IFERROR(IF(Loan_Not_Paid*Values_Entered,Payment_Number,""), "")</f>
        <v>265</v>
      </c>
      <c r="C282" s="395"/>
      <c r="D282" s="394">
        <f>IFERROR(IF(Loan_Not_Paid*Values_Entered,Beginning_Balance,""), "")</f>
        <v>96495420.899496555</v>
      </c>
      <c r="E282" s="394">
        <f>IFERROR(IF(Loan_Not_Paid*Values_Entered,Monthly_Payment,""), "")</f>
        <v>1291710.1497487591</v>
      </c>
      <c r="F282" s="394">
        <f>IFERROR(IF(Loan_Not_Paid*Values_Entered,Principal,""), "")</f>
        <v>769026.61987649836</v>
      </c>
      <c r="G282" s="394">
        <f>IFERROR(IF(Loan_Not_Paid*Values_Entered,Interest,""), "")</f>
        <v>522683.52987226075</v>
      </c>
      <c r="H282" s="394">
        <f>IFERROR(IF(Loan_Not_Paid*Values_Entered,Ending_Balance,""), "")</f>
        <v>95726394.279620051</v>
      </c>
    </row>
    <row r="283" spans="2:8">
      <c r="B283" s="396">
        <f>IFERROR(IF(Loan_Not_Paid*Values_Entered,Payment_Number,""), "")</f>
        <v>266</v>
      </c>
      <c r="C283" s="395"/>
      <c r="D283" s="394">
        <f>IFERROR(IF(Loan_Not_Paid*Values_Entered,Beginning_Balance,""), "")</f>
        <v>95726394.279620051</v>
      </c>
      <c r="E283" s="394">
        <f>IFERROR(IF(Loan_Not_Paid*Values_Entered,Monthly_Payment,""), "")</f>
        <v>1291710.1497487591</v>
      </c>
      <c r="F283" s="394">
        <f>IFERROR(IF(Loan_Not_Paid*Values_Entered,Principal,""), "")</f>
        <v>773192.18073416268</v>
      </c>
      <c r="G283" s="394">
        <f>IFERROR(IF(Loan_Not_Paid*Values_Entered,Interest,""), "")</f>
        <v>518517.96901459643</v>
      </c>
      <c r="H283" s="394">
        <f>IFERROR(IF(Loan_Not_Paid*Values_Entered,Ending_Balance,""), "")</f>
        <v>94953202.098885775</v>
      </c>
    </row>
    <row r="284" spans="2:8">
      <c r="B284" s="396">
        <f>IFERROR(IF(Loan_Not_Paid*Values_Entered,Payment_Number,""), "")</f>
        <v>267</v>
      </c>
      <c r="C284" s="395"/>
      <c r="D284" s="394">
        <f>IFERROR(IF(Loan_Not_Paid*Values_Entered,Beginning_Balance,""), "")</f>
        <v>94953202.098885775</v>
      </c>
      <c r="E284" s="394">
        <f>IFERROR(IF(Loan_Not_Paid*Values_Entered,Monthly_Payment,""), "")</f>
        <v>1291710.1497487591</v>
      </c>
      <c r="F284" s="394">
        <f>IFERROR(IF(Loan_Not_Paid*Values_Entered,Principal,""), "")</f>
        <v>777380.30504647281</v>
      </c>
      <c r="G284" s="394">
        <f>IFERROR(IF(Loan_Not_Paid*Values_Entered,Interest,""), "")</f>
        <v>514329.84470228635</v>
      </c>
      <c r="H284" s="394">
        <f>IFERROR(IF(Loan_Not_Paid*Values_Entered,Ending_Balance,""), "")</f>
        <v>94175821.793839335</v>
      </c>
    </row>
    <row r="285" spans="2:8">
      <c r="B285" s="396">
        <f>IFERROR(IF(Loan_Not_Paid*Values_Entered,Payment_Number,""), "")</f>
        <v>268</v>
      </c>
      <c r="C285" s="395"/>
      <c r="D285" s="394">
        <f>IFERROR(IF(Loan_Not_Paid*Values_Entered,Beginning_Balance,""), "")</f>
        <v>94175821.793839335</v>
      </c>
      <c r="E285" s="394">
        <f>IFERROR(IF(Loan_Not_Paid*Values_Entered,Monthly_Payment,""), "")</f>
        <v>1291710.1497487591</v>
      </c>
      <c r="F285" s="394">
        <f>IFERROR(IF(Loan_Not_Paid*Values_Entered,Principal,""), "")</f>
        <v>781591.1150321411</v>
      </c>
      <c r="G285" s="394">
        <f>IFERROR(IF(Loan_Not_Paid*Values_Entered,Interest,""), "")</f>
        <v>510119.03471661796</v>
      </c>
      <c r="H285" s="394">
        <f>IFERROR(IF(Loan_Not_Paid*Values_Entered,Ending_Balance,""), "")</f>
        <v>93394230.678807378</v>
      </c>
    </row>
    <row r="286" spans="2:8">
      <c r="B286" s="396">
        <f>IFERROR(IF(Loan_Not_Paid*Values_Entered,Payment_Number,""), "")</f>
        <v>269</v>
      </c>
      <c r="C286" s="395"/>
      <c r="D286" s="394">
        <f>IFERROR(IF(Loan_Not_Paid*Values_Entered,Beginning_Balance,""), "")</f>
        <v>93394230.678807378</v>
      </c>
      <c r="E286" s="394">
        <f>IFERROR(IF(Loan_Not_Paid*Values_Entered,Monthly_Payment,""), "")</f>
        <v>1291710.1497487591</v>
      </c>
      <c r="F286" s="394">
        <f>IFERROR(IF(Loan_Not_Paid*Values_Entered,Principal,""), "")</f>
        <v>785824.73357189854</v>
      </c>
      <c r="G286" s="394">
        <f>IFERROR(IF(Loan_Not_Paid*Values_Entered,Interest,""), "")</f>
        <v>505885.41617686057</v>
      </c>
      <c r="H286" s="394">
        <f>IFERROR(IF(Loan_Not_Paid*Values_Entered,Ending_Balance,""), "")</f>
        <v>92608405.945235491</v>
      </c>
    </row>
    <row r="287" spans="2:8">
      <c r="B287" s="396">
        <f>IFERROR(IF(Loan_Not_Paid*Values_Entered,Payment_Number,""), "")</f>
        <v>270</v>
      </c>
      <c r="C287" s="395"/>
      <c r="D287" s="394">
        <f>IFERROR(IF(Loan_Not_Paid*Values_Entered,Beginning_Balance,""), "")</f>
        <v>92608405.945235491</v>
      </c>
      <c r="E287" s="394">
        <f>IFERROR(IF(Loan_Not_Paid*Values_Entered,Monthly_Payment,""), "")</f>
        <v>1291710.1497487591</v>
      </c>
      <c r="F287" s="394">
        <f>IFERROR(IF(Loan_Not_Paid*Values_Entered,Principal,""), "")</f>
        <v>790081.28421207971</v>
      </c>
      <c r="G287" s="394">
        <f>IFERROR(IF(Loan_Not_Paid*Values_Entered,Interest,""), "")</f>
        <v>501628.86553667951</v>
      </c>
      <c r="H287" s="394">
        <f>IFERROR(IF(Loan_Not_Paid*Values_Entered,Ending_Balance,""), "")</f>
        <v>91818324.661023617</v>
      </c>
    </row>
    <row r="288" spans="2:8">
      <c r="B288" s="396">
        <f>IFERROR(IF(Loan_Not_Paid*Values_Entered,Payment_Number,""), "")</f>
        <v>271</v>
      </c>
      <c r="C288" s="395"/>
      <c r="D288" s="394">
        <f>IFERROR(IF(Loan_Not_Paid*Values_Entered,Beginning_Balance,""), "")</f>
        <v>91818324.661023617</v>
      </c>
      <c r="E288" s="394">
        <f>IFERROR(IF(Loan_Not_Paid*Values_Entered,Monthly_Payment,""), "")</f>
        <v>1291710.1497487591</v>
      </c>
      <c r="F288" s="394">
        <f>IFERROR(IF(Loan_Not_Paid*Values_Entered,Principal,""), "")</f>
        <v>794360.89116822858</v>
      </c>
      <c r="G288" s="394">
        <f>IFERROR(IF(Loan_Not_Paid*Values_Entered,Interest,""), "")</f>
        <v>497349.25858053064</v>
      </c>
      <c r="H288" s="394">
        <f>IFERROR(IF(Loan_Not_Paid*Values_Entered,Ending_Balance,""), "")</f>
        <v>91023963.769855261</v>
      </c>
    </row>
    <row r="289" spans="2:8">
      <c r="B289" s="396">
        <f>IFERROR(IF(Loan_Not_Paid*Values_Entered,Payment_Number,""), "")</f>
        <v>272</v>
      </c>
      <c r="C289" s="395"/>
      <c r="D289" s="394">
        <f>IFERROR(IF(Loan_Not_Paid*Values_Entered,Beginning_Balance,""), "")</f>
        <v>91023963.769855261</v>
      </c>
      <c r="E289" s="394">
        <f>IFERROR(IF(Loan_Not_Paid*Values_Entered,Monthly_Payment,""), "")</f>
        <v>1291710.1497487591</v>
      </c>
      <c r="F289" s="394">
        <f>IFERROR(IF(Loan_Not_Paid*Values_Entered,Principal,""), "")</f>
        <v>798663.679328723</v>
      </c>
      <c r="G289" s="394">
        <f>IFERROR(IF(Loan_Not_Paid*Values_Entered,Interest,""), "")</f>
        <v>493046.47042003612</v>
      </c>
      <c r="H289" s="394">
        <f>IFERROR(IF(Loan_Not_Paid*Values_Entered,Ending_Balance,""), "")</f>
        <v>90225300.090526462</v>
      </c>
    </row>
    <row r="290" spans="2:8">
      <c r="B290" s="396">
        <f>IFERROR(IF(Loan_Not_Paid*Values_Entered,Payment_Number,""), "")</f>
        <v>273</v>
      </c>
      <c r="C290" s="395"/>
      <c r="D290" s="394">
        <f>IFERROR(IF(Loan_Not_Paid*Values_Entered,Beginning_Balance,""), "")</f>
        <v>90225300.090526462</v>
      </c>
      <c r="E290" s="394">
        <f>IFERROR(IF(Loan_Not_Paid*Values_Entered,Monthly_Payment,""), "")</f>
        <v>1291710.1497487591</v>
      </c>
      <c r="F290" s="394">
        <f>IFERROR(IF(Loan_Not_Paid*Values_Entered,Principal,""), "")</f>
        <v>802989.77425842022</v>
      </c>
      <c r="G290" s="394">
        <f>IFERROR(IF(Loan_Not_Paid*Values_Entered,Interest,""), "")</f>
        <v>488720.37549033895</v>
      </c>
      <c r="H290" s="394">
        <f>IFERROR(IF(Loan_Not_Paid*Values_Entered,Ending_Balance,""), "")</f>
        <v>89422310.316268086</v>
      </c>
    </row>
    <row r="291" spans="2:8">
      <c r="B291" s="396">
        <f>IFERROR(IF(Loan_Not_Paid*Values_Entered,Payment_Number,""), "")</f>
        <v>274</v>
      </c>
      <c r="C291" s="395"/>
      <c r="D291" s="394">
        <f>IFERROR(IF(Loan_Not_Paid*Values_Entered,Beginning_Balance,""), "")</f>
        <v>89422310.316268086</v>
      </c>
      <c r="E291" s="394">
        <f>IFERROR(IF(Loan_Not_Paid*Values_Entered,Monthly_Payment,""), "")</f>
        <v>1291710.1497487591</v>
      </c>
      <c r="F291" s="394">
        <f>IFERROR(IF(Loan_Not_Paid*Values_Entered,Principal,""), "")</f>
        <v>807339.30220232008</v>
      </c>
      <c r="G291" s="394">
        <f>IFERROR(IF(Loan_Not_Paid*Values_Entered,Interest,""), "")</f>
        <v>484370.84754643898</v>
      </c>
      <c r="H291" s="394">
        <f>IFERROR(IF(Loan_Not_Paid*Values_Entered,Ending_Balance,""), "")</f>
        <v>88614971.014065862</v>
      </c>
    </row>
    <row r="292" spans="2:8">
      <c r="B292" s="396">
        <f>IFERROR(IF(Loan_Not_Paid*Values_Entered,Payment_Number,""), "")</f>
        <v>275</v>
      </c>
      <c r="C292" s="395"/>
      <c r="D292" s="394">
        <f>IFERROR(IF(Loan_Not_Paid*Values_Entered,Beginning_Balance,""), "")</f>
        <v>88614971.014065862</v>
      </c>
      <c r="E292" s="394">
        <f>IFERROR(IF(Loan_Not_Paid*Values_Entered,Monthly_Payment,""), "")</f>
        <v>1291710.1497487591</v>
      </c>
      <c r="F292" s="394">
        <f>IFERROR(IF(Loan_Not_Paid*Values_Entered,Principal,""), "")</f>
        <v>811712.39008924935</v>
      </c>
      <c r="G292" s="394">
        <f>IFERROR(IF(Loan_Not_Paid*Values_Entered,Interest,""), "")</f>
        <v>479997.75965950987</v>
      </c>
      <c r="H292" s="394">
        <f>IFERROR(IF(Loan_Not_Paid*Values_Entered,Ending_Balance,""), "")</f>
        <v>87803258.623976707</v>
      </c>
    </row>
    <row r="293" spans="2:8">
      <c r="B293" s="396">
        <f>IFERROR(IF(Loan_Not_Paid*Values_Entered,Payment_Number,""), "")</f>
        <v>276</v>
      </c>
      <c r="C293" s="395"/>
      <c r="D293" s="394">
        <f>IFERROR(IF(Loan_Not_Paid*Values_Entered,Beginning_Balance,""), "")</f>
        <v>87803258.623976707</v>
      </c>
      <c r="E293" s="394">
        <f>IFERROR(IF(Loan_Not_Paid*Values_Entered,Monthly_Payment,""), "")</f>
        <v>1291710.1497487591</v>
      </c>
      <c r="F293" s="394">
        <f>IFERROR(IF(Loan_Not_Paid*Values_Entered,Principal,""), "")</f>
        <v>816109.16553556616</v>
      </c>
      <c r="G293" s="394">
        <f>IFERROR(IF(Loan_Not_Paid*Values_Entered,Interest,""), "")</f>
        <v>475600.98421319312</v>
      </c>
      <c r="H293" s="394">
        <f>IFERROR(IF(Loan_Not_Paid*Values_Entered,Ending_Balance,""), "")</f>
        <v>86987149.458441019</v>
      </c>
    </row>
    <row r="294" spans="2:8">
      <c r="B294" s="396">
        <f>IFERROR(IF(Loan_Not_Paid*Values_Entered,Payment_Number,""), "")</f>
        <v>277</v>
      </c>
      <c r="C294" s="395"/>
      <c r="D294" s="394">
        <f>IFERROR(IF(Loan_Not_Paid*Values_Entered,Beginning_Balance,""), "")</f>
        <v>86987149.458441019</v>
      </c>
      <c r="E294" s="394">
        <f>IFERROR(IF(Loan_Not_Paid*Values_Entered,Monthly_Payment,""), "")</f>
        <v>1291710.1497487591</v>
      </c>
      <c r="F294" s="394">
        <f>IFERROR(IF(Loan_Not_Paid*Values_Entered,Principal,""), "")</f>
        <v>820529.75684888382</v>
      </c>
      <c r="G294" s="394">
        <f>IFERROR(IF(Loan_Not_Paid*Values_Entered,Interest,""), "")</f>
        <v>471180.39289987547</v>
      </c>
      <c r="H294" s="394">
        <f>IFERROR(IF(Loan_Not_Paid*Values_Entered,Ending_Balance,""), "")</f>
        <v>86166619.701592207</v>
      </c>
    </row>
    <row r="295" spans="2:8">
      <c r="B295" s="396">
        <f>IFERROR(IF(Loan_Not_Paid*Values_Entered,Payment_Number,""), "")</f>
        <v>278</v>
      </c>
      <c r="C295" s="395"/>
      <c r="D295" s="394">
        <f>IFERROR(IF(Loan_Not_Paid*Values_Entered,Beginning_Balance,""), "")</f>
        <v>86166619.701592207</v>
      </c>
      <c r="E295" s="394">
        <f>IFERROR(IF(Loan_Not_Paid*Values_Entered,Monthly_Payment,""), "")</f>
        <v>1291710.1497487591</v>
      </c>
      <c r="F295" s="394">
        <f>IFERROR(IF(Loan_Not_Paid*Values_Entered,Principal,""), "")</f>
        <v>824974.29303181521</v>
      </c>
      <c r="G295" s="394">
        <f>IFERROR(IF(Loan_Not_Paid*Values_Entered,Interest,""), "")</f>
        <v>466735.8567169439</v>
      </c>
      <c r="H295" s="394">
        <f>IFERROR(IF(Loan_Not_Paid*Values_Entered,Ending_Balance,""), "")</f>
        <v>85341645.408560276</v>
      </c>
    </row>
    <row r="296" spans="2:8">
      <c r="B296" s="396">
        <f>IFERROR(IF(Loan_Not_Paid*Values_Entered,Payment_Number,""), "")</f>
        <v>279</v>
      </c>
      <c r="C296" s="395"/>
      <c r="D296" s="394">
        <f>IFERROR(IF(Loan_Not_Paid*Values_Entered,Beginning_Balance,""), "")</f>
        <v>85341645.408560276</v>
      </c>
      <c r="E296" s="394">
        <f>IFERROR(IF(Loan_Not_Paid*Values_Entered,Monthly_Payment,""), "")</f>
        <v>1291710.1497487591</v>
      </c>
      <c r="F296" s="394">
        <f>IFERROR(IF(Loan_Not_Paid*Values_Entered,Principal,""), "")</f>
        <v>829442.90378573746</v>
      </c>
      <c r="G296" s="394">
        <f>IFERROR(IF(Loan_Not_Paid*Values_Entered,Interest,""), "")</f>
        <v>462267.24596302159</v>
      </c>
      <c r="H296" s="394">
        <f>IFERROR(IF(Loan_Not_Paid*Values_Entered,Ending_Balance,""), "")</f>
        <v>84512202.504774809</v>
      </c>
    </row>
    <row r="297" spans="2:8">
      <c r="B297" s="396">
        <f>IFERROR(IF(Loan_Not_Paid*Values_Entered,Payment_Number,""), "")</f>
        <v>280</v>
      </c>
      <c r="C297" s="395"/>
      <c r="D297" s="394">
        <f>IFERROR(IF(Loan_Not_Paid*Values_Entered,Beginning_Balance,""), "")</f>
        <v>84512202.504774809</v>
      </c>
      <c r="E297" s="394">
        <f>IFERROR(IF(Loan_Not_Paid*Values_Entered,Monthly_Payment,""), "")</f>
        <v>1291710.1497487591</v>
      </c>
      <c r="F297" s="394">
        <f>IFERROR(IF(Loan_Not_Paid*Values_Entered,Principal,""), "")</f>
        <v>833935.71951457695</v>
      </c>
      <c r="G297" s="394">
        <f>IFERROR(IF(Loan_Not_Paid*Values_Entered,Interest,""), "")</f>
        <v>457774.43023418222</v>
      </c>
      <c r="H297" s="394">
        <f>IFERROR(IF(Loan_Not_Paid*Values_Entered,Ending_Balance,""), "")</f>
        <v>83678266.785260201</v>
      </c>
    </row>
    <row r="298" spans="2:8">
      <c r="B298" s="396">
        <f>IFERROR(IF(Loan_Not_Paid*Values_Entered,Payment_Number,""), "")</f>
        <v>281</v>
      </c>
      <c r="C298" s="395"/>
      <c r="D298" s="394">
        <f>IFERROR(IF(Loan_Not_Paid*Values_Entered,Beginning_Balance,""), "")</f>
        <v>83678266.785260201</v>
      </c>
      <c r="E298" s="394">
        <f>IFERROR(IF(Loan_Not_Paid*Values_Entered,Monthly_Payment,""), "")</f>
        <v>1291710.1497487591</v>
      </c>
      <c r="F298" s="394">
        <f>IFERROR(IF(Loan_Not_Paid*Values_Entered,Principal,""), "")</f>
        <v>838452.87132861419</v>
      </c>
      <c r="G298" s="394">
        <f>IFERROR(IF(Loan_Not_Paid*Values_Entered,Interest,""), "")</f>
        <v>453257.27842014492</v>
      </c>
      <c r="H298" s="394">
        <f>IFERROR(IF(Loan_Not_Paid*Values_Entered,Ending_Balance,""), "")</f>
        <v>82839813.913931489</v>
      </c>
    </row>
    <row r="299" spans="2:8">
      <c r="B299" s="396">
        <f>IFERROR(IF(Loan_Not_Paid*Values_Entered,Payment_Number,""), "")</f>
        <v>282</v>
      </c>
      <c r="C299" s="395"/>
      <c r="D299" s="394">
        <f>IFERROR(IF(Loan_Not_Paid*Values_Entered,Beginning_Balance,""), "")</f>
        <v>82839813.913931489</v>
      </c>
      <c r="E299" s="394">
        <f>IFERROR(IF(Loan_Not_Paid*Values_Entered,Monthly_Payment,""), "")</f>
        <v>1291710.1497487591</v>
      </c>
      <c r="F299" s="394">
        <f>IFERROR(IF(Loan_Not_Paid*Values_Entered,Principal,""), "")</f>
        <v>842994.49104831077</v>
      </c>
      <c r="G299" s="394">
        <f>IFERROR(IF(Loan_Not_Paid*Values_Entered,Interest,""), "")</f>
        <v>448715.65870044829</v>
      </c>
      <c r="H299" s="394">
        <f>IFERROR(IF(Loan_Not_Paid*Values_Entered,Ending_Balance,""), "")</f>
        <v>81996819.422883153</v>
      </c>
    </row>
    <row r="300" spans="2:8">
      <c r="B300" s="396">
        <f>IFERROR(IF(Loan_Not_Paid*Values_Entered,Payment_Number,""), "")</f>
        <v>283</v>
      </c>
      <c r="C300" s="395"/>
      <c r="D300" s="394">
        <f>IFERROR(IF(Loan_Not_Paid*Values_Entered,Beginning_Balance,""), "")</f>
        <v>81996819.422883153</v>
      </c>
      <c r="E300" s="394">
        <f>IFERROR(IF(Loan_Not_Paid*Values_Entered,Monthly_Payment,""), "")</f>
        <v>1291710.1497487591</v>
      </c>
      <c r="F300" s="394">
        <f>IFERROR(IF(Loan_Not_Paid*Values_Entered,Principal,""), "")</f>
        <v>847560.71120815584</v>
      </c>
      <c r="G300" s="394">
        <f>IFERROR(IF(Loan_Not_Paid*Values_Entered,Interest,""), "")</f>
        <v>444149.43854060321</v>
      </c>
      <c r="H300" s="394">
        <f>IFERROR(IF(Loan_Not_Paid*Values_Entered,Ending_Balance,""), "")</f>
        <v>81149258.711675167</v>
      </c>
    </row>
    <row r="301" spans="2:8">
      <c r="B301" s="396">
        <f>IFERROR(IF(Loan_Not_Paid*Values_Entered,Payment_Number,""), "")</f>
        <v>284</v>
      </c>
      <c r="C301" s="395"/>
      <c r="D301" s="394">
        <f>IFERROR(IF(Loan_Not_Paid*Values_Entered,Beginning_Balance,""), "")</f>
        <v>81149258.711675167</v>
      </c>
      <c r="E301" s="394">
        <f>IFERROR(IF(Loan_Not_Paid*Values_Entered,Monthly_Payment,""), "")</f>
        <v>1291710.1497487591</v>
      </c>
      <c r="F301" s="394">
        <f>IFERROR(IF(Loan_Not_Paid*Values_Entered,Principal,""), "")</f>
        <v>852151.66506053333</v>
      </c>
      <c r="G301" s="394">
        <f>IFERROR(IF(Loan_Not_Paid*Values_Entered,Interest,""), "")</f>
        <v>439558.48468822567</v>
      </c>
      <c r="H301" s="394">
        <f>IFERROR(IF(Loan_Not_Paid*Values_Entered,Ending_Balance,""), "")</f>
        <v>80297107.046614647</v>
      </c>
    </row>
    <row r="302" spans="2:8">
      <c r="B302" s="396">
        <f>IFERROR(IF(Loan_Not_Paid*Values_Entered,Payment_Number,""), "")</f>
        <v>285</v>
      </c>
      <c r="C302" s="395"/>
      <c r="D302" s="394">
        <f>IFERROR(IF(Loan_Not_Paid*Values_Entered,Beginning_Balance,""), "")</f>
        <v>80297107.046614647</v>
      </c>
      <c r="E302" s="394">
        <f>IFERROR(IF(Loan_Not_Paid*Values_Entered,Monthly_Payment,""), "")</f>
        <v>1291710.1497487591</v>
      </c>
      <c r="F302" s="394">
        <f>IFERROR(IF(Loan_Not_Paid*Values_Entered,Principal,""), "")</f>
        <v>856767.48657961132</v>
      </c>
      <c r="G302" s="394">
        <f>IFERROR(IF(Loan_Not_Paid*Values_Entered,Interest,""), "")</f>
        <v>434942.66316914785</v>
      </c>
      <c r="H302" s="394">
        <f>IFERROR(IF(Loan_Not_Paid*Values_Entered,Ending_Balance,""), "")</f>
        <v>79440339.56003499</v>
      </c>
    </row>
    <row r="303" spans="2:8">
      <c r="B303" s="396">
        <f>IFERROR(IF(Loan_Not_Paid*Values_Entered,Payment_Number,""), "")</f>
        <v>286</v>
      </c>
      <c r="C303" s="395"/>
      <c r="D303" s="394">
        <f>IFERROR(IF(Loan_Not_Paid*Values_Entered,Beginning_Balance,""), "")</f>
        <v>79440339.56003499</v>
      </c>
      <c r="E303" s="394">
        <f>IFERROR(IF(Loan_Not_Paid*Values_Entered,Monthly_Payment,""), "")</f>
        <v>1291710.1497487591</v>
      </c>
      <c r="F303" s="394">
        <f>IFERROR(IF(Loan_Not_Paid*Values_Entered,Principal,""), "")</f>
        <v>861408.31046525075</v>
      </c>
      <c r="G303" s="394">
        <f>IFERROR(IF(Loan_Not_Paid*Values_Entered,Interest,""), "")</f>
        <v>430301.83928350825</v>
      </c>
      <c r="H303" s="394">
        <f>IFERROR(IF(Loan_Not_Paid*Values_Entered,Ending_Balance,""), "")</f>
        <v>78578931.249569893</v>
      </c>
    </row>
    <row r="304" spans="2:8">
      <c r="B304" s="396">
        <f>IFERROR(IF(Loan_Not_Paid*Values_Entered,Payment_Number,""), "")</f>
        <v>287</v>
      </c>
      <c r="C304" s="395"/>
      <c r="D304" s="394">
        <f>IFERROR(IF(Loan_Not_Paid*Values_Entered,Beginning_Balance,""), "")</f>
        <v>78578931.249569893</v>
      </c>
      <c r="E304" s="394">
        <f>IFERROR(IF(Loan_Not_Paid*Values_Entered,Monthly_Payment,""), "")</f>
        <v>1291710.1497487591</v>
      </c>
      <c r="F304" s="394">
        <f>IFERROR(IF(Loan_Not_Paid*Values_Entered,Principal,""), "")</f>
        <v>866074.27214693767</v>
      </c>
      <c r="G304" s="394">
        <f>IFERROR(IF(Loan_Not_Paid*Values_Entered,Interest,""), "")</f>
        <v>425635.8776018215</v>
      </c>
      <c r="H304" s="394">
        <f>IFERROR(IF(Loan_Not_Paid*Values_Entered,Ending_Balance,""), "")</f>
        <v>77712856.977422833</v>
      </c>
    </row>
    <row r="305" spans="2:8">
      <c r="B305" s="396">
        <f>IFERROR(IF(Loan_Not_Paid*Values_Entered,Payment_Number,""), "")</f>
        <v>288</v>
      </c>
      <c r="C305" s="395"/>
      <c r="D305" s="394">
        <f>IFERROR(IF(Loan_Not_Paid*Values_Entered,Beginning_Balance,""), "")</f>
        <v>77712856.977422833</v>
      </c>
      <c r="E305" s="394">
        <f>IFERROR(IF(Loan_Not_Paid*Values_Entered,Monthly_Payment,""), "")</f>
        <v>1291710.1497487591</v>
      </c>
      <c r="F305" s="394">
        <f>IFERROR(IF(Loan_Not_Paid*Values_Entered,Principal,""), "")</f>
        <v>870765.50778773346</v>
      </c>
      <c r="G305" s="394">
        <f>IFERROR(IF(Loan_Not_Paid*Values_Entered,Interest,""), "")</f>
        <v>420944.6419610256</v>
      </c>
      <c r="H305" s="394">
        <f>IFERROR(IF(Loan_Not_Paid*Values_Entered,Ending_Balance,""), "")</f>
        <v>76842091.469635248</v>
      </c>
    </row>
    <row r="306" spans="2:8">
      <c r="B306" s="396">
        <f>IFERROR(IF(Loan_Not_Paid*Values_Entered,Payment_Number,""), "")</f>
        <v>289</v>
      </c>
      <c r="C306" s="395"/>
      <c r="D306" s="394">
        <f>IFERROR(IF(Loan_Not_Paid*Values_Entered,Beginning_Balance,""), "")</f>
        <v>76842091.469635248</v>
      </c>
      <c r="E306" s="394">
        <f>IFERROR(IF(Loan_Not_Paid*Values_Entered,Monthly_Payment,""), "")</f>
        <v>1291710.1497487591</v>
      </c>
      <c r="F306" s="394">
        <f>IFERROR(IF(Loan_Not_Paid*Values_Entered,Principal,""), "")</f>
        <v>875482.15428825037</v>
      </c>
      <c r="G306" s="394">
        <f>IFERROR(IF(Loan_Not_Paid*Values_Entered,Interest,""), "")</f>
        <v>416227.99546050868</v>
      </c>
      <c r="H306" s="394">
        <f>IFERROR(IF(Loan_Not_Paid*Values_Entered,Ending_Balance,""), "")</f>
        <v>75966609.315347075</v>
      </c>
    </row>
    <row r="307" spans="2:8">
      <c r="B307" s="396">
        <f>IFERROR(IF(Loan_Not_Paid*Values_Entered,Payment_Number,""), "")</f>
        <v>290</v>
      </c>
      <c r="C307" s="395"/>
      <c r="D307" s="394">
        <f>IFERROR(IF(Loan_Not_Paid*Values_Entered,Beginning_Balance,""), "")</f>
        <v>75966609.315347075</v>
      </c>
      <c r="E307" s="394">
        <f>IFERROR(IF(Loan_Not_Paid*Values_Entered,Monthly_Payment,""), "")</f>
        <v>1291710.1497487591</v>
      </c>
      <c r="F307" s="394">
        <f>IFERROR(IF(Loan_Not_Paid*Values_Entered,Principal,""), "")</f>
        <v>880224.3492906451</v>
      </c>
      <c r="G307" s="394">
        <f>IFERROR(IF(Loan_Not_Paid*Values_Entered,Interest,""), "")</f>
        <v>411485.80045811395</v>
      </c>
      <c r="H307" s="394">
        <f>IFERROR(IF(Loan_Not_Paid*Values_Entered,Ending_Balance,""), "")</f>
        <v>75086384.966056347</v>
      </c>
    </row>
    <row r="308" spans="2:8">
      <c r="B308" s="396">
        <f>IFERROR(IF(Loan_Not_Paid*Values_Entered,Payment_Number,""), "")</f>
        <v>291</v>
      </c>
      <c r="C308" s="395"/>
      <c r="D308" s="394">
        <f>IFERROR(IF(Loan_Not_Paid*Values_Entered,Beginning_Balance,""), "")</f>
        <v>75086384.966056347</v>
      </c>
      <c r="E308" s="394">
        <f>IFERROR(IF(Loan_Not_Paid*Values_Entered,Monthly_Payment,""), "")</f>
        <v>1291710.1497487591</v>
      </c>
      <c r="F308" s="394">
        <f>IFERROR(IF(Loan_Not_Paid*Values_Entered,Principal,""), "")</f>
        <v>884992.23118263623</v>
      </c>
      <c r="G308" s="394">
        <f>IFERROR(IF(Loan_Not_Paid*Values_Entered,Interest,""), "")</f>
        <v>406717.91856612306</v>
      </c>
      <c r="H308" s="394">
        <f>IFERROR(IF(Loan_Not_Paid*Values_Entered,Ending_Balance,""), "")</f>
        <v>74201392.734873772</v>
      </c>
    </row>
    <row r="309" spans="2:8">
      <c r="B309" s="396">
        <f>IFERROR(IF(Loan_Not_Paid*Values_Entered,Payment_Number,""), "")</f>
        <v>292</v>
      </c>
      <c r="C309" s="395"/>
      <c r="D309" s="394">
        <f>IFERROR(IF(Loan_Not_Paid*Values_Entered,Beginning_Balance,""), "")</f>
        <v>74201392.734873772</v>
      </c>
      <c r="E309" s="394">
        <f>IFERROR(IF(Loan_Not_Paid*Values_Entered,Monthly_Payment,""), "")</f>
        <v>1291710.1497487591</v>
      </c>
      <c r="F309" s="394">
        <f>IFERROR(IF(Loan_Not_Paid*Values_Entered,Principal,""), "")</f>
        <v>889785.939101542</v>
      </c>
      <c r="G309" s="394">
        <f>IFERROR(IF(Loan_Not_Paid*Values_Entered,Interest,""), "")</f>
        <v>401924.21064721706</v>
      </c>
      <c r="H309" s="394">
        <f>IFERROR(IF(Loan_Not_Paid*Values_Entered,Ending_Balance,""), "")</f>
        <v>73311606.795772195</v>
      </c>
    </row>
    <row r="310" spans="2:8">
      <c r="B310" s="396">
        <f>IFERROR(IF(Loan_Not_Paid*Values_Entered,Payment_Number,""), "")</f>
        <v>293</v>
      </c>
      <c r="C310" s="395"/>
      <c r="D310" s="394">
        <f>IFERROR(IF(Loan_Not_Paid*Values_Entered,Beginning_Balance,""), "")</f>
        <v>73311606.795772195</v>
      </c>
      <c r="E310" s="394">
        <f>IFERROR(IF(Loan_Not_Paid*Values_Entered,Monthly_Payment,""), "")</f>
        <v>1291710.1497487591</v>
      </c>
      <c r="F310" s="394">
        <f>IFERROR(IF(Loan_Not_Paid*Values_Entered,Principal,""), "")</f>
        <v>894605.61293834203</v>
      </c>
      <c r="G310" s="394">
        <f>IFERROR(IF(Loan_Not_Paid*Values_Entered,Interest,""), "")</f>
        <v>397104.53681041708</v>
      </c>
      <c r="H310" s="394">
        <f>IFERROR(IF(Loan_Not_Paid*Values_Entered,Ending_Balance,""), "")</f>
        <v>72417001.18283391</v>
      </c>
    </row>
    <row r="311" spans="2:8">
      <c r="B311" s="396">
        <f>IFERROR(IF(Loan_Not_Paid*Values_Entered,Payment_Number,""), "")</f>
        <v>294</v>
      </c>
      <c r="C311" s="395"/>
      <c r="D311" s="394">
        <f>IFERROR(IF(Loan_Not_Paid*Values_Entered,Beginning_Balance,""), "")</f>
        <v>72417001.18283391</v>
      </c>
      <c r="E311" s="394">
        <f>IFERROR(IF(Loan_Not_Paid*Values_Entered,Monthly_Payment,""), "")</f>
        <v>1291710.1497487591</v>
      </c>
      <c r="F311" s="394">
        <f>IFERROR(IF(Loan_Not_Paid*Values_Entered,Principal,""), "")</f>
        <v>899451.39334175806</v>
      </c>
      <c r="G311" s="394">
        <f>IFERROR(IF(Loan_Not_Paid*Values_Entered,Interest,""), "")</f>
        <v>392258.75640700106</v>
      </c>
      <c r="H311" s="394">
        <f>IFERROR(IF(Loan_Not_Paid*Values_Entered,Ending_Balance,""), "")</f>
        <v>71517549.78949213</v>
      </c>
    </row>
    <row r="312" spans="2:8">
      <c r="B312" s="396">
        <f>IFERROR(IF(Loan_Not_Paid*Values_Entered,Payment_Number,""), "")</f>
        <v>295</v>
      </c>
      <c r="C312" s="395"/>
      <c r="D312" s="394">
        <f>IFERROR(IF(Loan_Not_Paid*Values_Entered,Beginning_Balance,""), "")</f>
        <v>71517549.78949213</v>
      </c>
      <c r="E312" s="394">
        <f>IFERROR(IF(Loan_Not_Paid*Values_Entered,Monthly_Payment,""), "")</f>
        <v>1291710.1497487591</v>
      </c>
      <c r="F312" s="394">
        <f>IFERROR(IF(Loan_Not_Paid*Values_Entered,Principal,""), "")</f>
        <v>904323.42172235926</v>
      </c>
      <c r="G312" s="394">
        <f>IFERROR(IF(Loan_Not_Paid*Values_Entered,Interest,""), "")</f>
        <v>387386.7280263998</v>
      </c>
      <c r="H312" s="394">
        <f>IFERROR(IF(Loan_Not_Paid*Values_Entered,Ending_Balance,""), "")</f>
        <v>70613226.367769837</v>
      </c>
    </row>
    <row r="313" spans="2:8">
      <c r="B313" s="396">
        <f>IFERROR(IF(Loan_Not_Paid*Values_Entered,Payment_Number,""), "")</f>
        <v>296</v>
      </c>
      <c r="C313" s="395"/>
      <c r="D313" s="394">
        <f>IFERROR(IF(Loan_Not_Paid*Values_Entered,Beginning_Balance,""), "")</f>
        <v>70613226.367769837</v>
      </c>
      <c r="E313" s="394">
        <f>IFERROR(IF(Loan_Not_Paid*Values_Entered,Monthly_Payment,""), "")</f>
        <v>1291710.1497487591</v>
      </c>
      <c r="F313" s="394">
        <f>IFERROR(IF(Loan_Not_Paid*Values_Entered,Principal,""), "")</f>
        <v>909221.84025668877</v>
      </c>
      <c r="G313" s="394">
        <f>IFERROR(IF(Loan_Not_Paid*Values_Entered,Interest,""), "")</f>
        <v>382488.30949207034</v>
      </c>
      <c r="H313" s="394">
        <f>IFERROR(IF(Loan_Not_Paid*Values_Entered,Ending_Balance,""), "")</f>
        <v>69704004.527513146</v>
      </c>
    </row>
    <row r="314" spans="2:8">
      <c r="B314" s="396">
        <f>IFERROR(IF(Loan_Not_Paid*Values_Entered,Payment_Number,""), "")</f>
        <v>297</v>
      </c>
      <c r="C314" s="395"/>
      <c r="D314" s="394">
        <f>IFERROR(IF(Loan_Not_Paid*Values_Entered,Beginning_Balance,""), "")</f>
        <v>69704004.527513146</v>
      </c>
      <c r="E314" s="394">
        <f>IFERROR(IF(Loan_Not_Paid*Values_Entered,Monthly_Payment,""), "")</f>
        <v>1291710.1497487591</v>
      </c>
      <c r="F314" s="394">
        <f>IFERROR(IF(Loan_Not_Paid*Values_Entered,Principal,""), "")</f>
        <v>914146.79189141234</v>
      </c>
      <c r="G314" s="394">
        <f>IFERROR(IF(Loan_Not_Paid*Values_Entered,Interest,""), "")</f>
        <v>377563.35785734665</v>
      </c>
      <c r="H314" s="394">
        <f>IFERROR(IF(Loan_Not_Paid*Values_Entered,Ending_Balance,""), "")</f>
        <v>68789857.73562181</v>
      </c>
    </row>
    <row r="315" spans="2:8">
      <c r="B315" s="396">
        <f>IFERROR(IF(Loan_Not_Paid*Values_Entered,Payment_Number,""), "")</f>
        <v>298</v>
      </c>
      <c r="C315" s="395"/>
      <c r="D315" s="394">
        <f>IFERROR(IF(Loan_Not_Paid*Values_Entered,Beginning_Balance,""), "")</f>
        <v>68789857.73562181</v>
      </c>
      <c r="E315" s="394">
        <f>IFERROR(IF(Loan_Not_Paid*Values_Entered,Monthly_Payment,""), "")</f>
        <v>1291710.1497487591</v>
      </c>
      <c r="F315" s="394">
        <f>IFERROR(IF(Loan_Not_Paid*Values_Entered,Principal,""), "")</f>
        <v>919098.42034749093</v>
      </c>
      <c r="G315" s="394">
        <f>IFERROR(IF(Loan_Not_Paid*Values_Entered,Interest,""), "")</f>
        <v>372611.72940126812</v>
      </c>
      <c r="H315" s="394">
        <f>IFERROR(IF(Loan_Not_Paid*Values_Entered,Ending_Balance,""), "")</f>
        <v>67870759.315274239</v>
      </c>
    </row>
    <row r="316" spans="2:8">
      <c r="B316" s="396">
        <f>IFERROR(IF(Loan_Not_Paid*Values_Entered,Payment_Number,""), "")</f>
        <v>299</v>
      </c>
      <c r="C316" s="395"/>
      <c r="D316" s="394">
        <f>IFERROR(IF(Loan_Not_Paid*Values_Entered,Beginning_Balance,""), "")</f>
        <v>67870759.315274239</v>
      </c>
      <c r="E316" s="394">
        <f>IFERROR(IF(Loan_Not_Paid*Values_Entered,Monthly_Payment,""), "")</f>
        <v>1291710.1497487591</v>
      </c>
      <c r="F316" s="394">
        <f>IFERROR(IF(Loan_Not_Paid*Values_Entered,Principal,""), "")</f>
        <v>924076.87012437312</v>
      </c>
      <c r="G316" s="394">
        <f>IFERROR(IF(Loan_Not_Paid*Values_Entered,Interest,""), "")</f>
        <v>367633.27962438593</v>
      </c>
      <c r="H316" s="394">
        <f>IFERROR(IF(Loan_Not_Paid*Values_Entered,Ending_Balance,""), "")</f>
        <v>66946682.445149899</v>
      </c>
    </row>
    <row r="317" spans="2:8">
      <c r="B317" s="396">
        <f>IFERROR(IF(Loan_Not_Paid*Values_Entered,Payment_Number,""), "")</f>
        <v>300</v>
      </c>
      <c r="C317" s="395"/>
      <c r="D317" s="394">
        <f>IFERROR(IF(Loan_Not_Paid*Values_Entered,Beginning_Balance,""), "")</f>
        <v>66946682.445149899</v>
      </c>
      <c r="E317" s="394">
        <f>IFERROR(IF(Loan_Not_Paid*Values_Entered,Monthly_Payment,""), "")</f>
        <v>1291710.1497487591</v>
      </c>
      <c r="F317" s="394">
        <f>IFERROR(IF(Loan_Not_Paid*Values_Entered,Principal,""), "")</f>
        <v>929082.28650421358</v>
      </c>
      <c r="G317" s="394">
        <f>IFERROR(IF(Loan_Not_Paid*Values_Entered,Interest,""), "")</f>
        <v>362627.86324454553</v>
      </c>
      <c r="H317" s="394">
        <f>IFERROR(IF(Loan_Not_Paid*Values_Entered,Ending_Balance,""), "")</f>
        <v>66017600.158645868</v>
      </c>
    </row>
    <row r="318" spans="2:8">
      <c r="B318" s="396">
        <f>IFERROR(IF(Loan_Not_Paid*Values_Entered,Payment_Number,""), "")</f>
        <v>301</v>
      </c>
      <c r="C318" s="395"/>
      <c r="D318" s="394">
        <f>IFERROR(IF(Loan_Not_Paid*Values_Entered,Beginning_Balance,""), "")</f>
        <v>66017600.158645868</v>
      </c>
      <c r="E318" s="394">
        <f>IFERROR(IF(Loan_Not_Paid*Values_Entered,Monthly_Payment,""), "")</f>
        <v>1291710.1497487591</v>
      </c>
      <c r="F318" s="394">
        <f>IFERROR(IF(Loan_Not_Paid*Values_Entered,Principal,""), "")</f>
        <v>934114.8155561114</v>
      </c>
      <c r="G318" s="394">
        <f>IFERROR(IF(Loan_Not_Paid*Values_Entered,Interest,""), "")</f>
        <v>357595.33419264772</v>
      </c>
      <c r="H318" s="394">
        <f>IFERROR(IF(Loan_Not_Paid*Values_Entered,Ending_Balance,""), "")</f>
        <v>65083485.3430897</v>
      </c>
    </row>
    <row r="319" spans="2:8">
      <c r="B319" s="396">
        <f>IFERROR(IF(Loan_Not_Paid*Values_Entered,Payment_Number,""), "")</f>
        <v>302</v>
      </c>
      <c r="C319" s="395"/>
      <c r="D319" s="394">
        <f>IFERROR(IF(Loan_Not_Paid*Values_Entered,Beginning_Balance,""), "")</f>
        <v>65083485.3430897</v>
      </c>
      <c r="E319" s="394">
        <f>IFERROR(IF(Loan_Not_Paid*Values_Entered,Monthly_Payment,""), "")</f>
        <v>1291710.1497487591</v>
      </c>
      <c r="F319" s="394">
        <f>IFERROR(IF(Loan_Not_Paid*Values_Entered,Principal,""), "")</f>
        <v>939174.60414037365</v>
      </c>
      <c r="G319" s="394">
        <f>IFERROR(IF(Loan_Not_Paid*Values_Entered,Interest,""), "")</f>
        <v>352535.54560838552</v>
      </c>
      <c r="H319" s="394">
        <f>IFERROR(IF(Loan_Not_Paid*Values_Entered,Ending_Balance,""), "")</f>
        <v>64144310.738949418</v>
      </c>
    </row>
    <row r="320" spans="2:8">
      <c r="B320" s="396">
        <f>IFERROR(IF(Loan_Not_Paid*Values_Entered,Payment_Number,""), "")</f>
        <v>303</v>
      </c>
      <c r="C320" s="395"/>
      <c r="D320" s="394">
        <f>IFERROR(IF(Loan_Not_Paid*Values_Entered,Beginning_Balance,""), "")</f>
        <v>64144310.738949418</v>
      </c>
      <c r="E320" s="394">
        <f>IFERROR(IF(Loan_Not_Paid*Values_Entered,Monthly_Payment,""), "")</f>
        <v>1291710.1497487591</v>
      </c>
      <c r="F320" s="394">
        <f>IFERROR(IF(Loan_Not_Paid*Values_Entered,Principal,""), "")</f>
        <v>944261.79991280066</v>
      </c>
      <c r="G320" s="394">
        <f>IFERROR(IF(Loan_Not_Paid*Values_Entered,Interest,""), "")</f>
        <v>347448.34983595845</v>
      </c>
      <c r="H320" s="394">
        <f>IFERROR(IF(Loan_Not_Paid*Values_Entered,Ending_Balance,""), "")</f>
        <v>63200048.939036608</v>
      </c>
    </row>
    <row r="321" spans="2:8">
      <c r="B321" s="396">
        <f>IFERROR(IF(Loan_Not_Paid*Values_Entered,Payment_Number,""), "")</f>
        <v>304</v>
      </c>
      <c r="C321" s="395"/>
      <c r="D321" s="394">
        <f>IFERROR(IF(Loan_Not_Paid*Values_Entered,Beginning_Balance,""), "")</f>
        <v>63200048.939036608</v>
      </c>
      <c r="E321" s="394">
        <f>IFERROR(IF(Loan_Not_Paid*Values_Entered,Monthly_Payment,""), "")</f>
        <v>1291710.1497487591</v>
      </c>
      <c r="F321" s="394">
        <f>IFERROR(IF(Loan_Not_Paid*Values_Entered,Principal,""), "")</f>
        <v>949376.55132899503</v>
      </c>
      <c r="G321" s="394">
        <f>IFERROR(IF(Loan_Not_Paid*Values_Entered,Interest,""), "")</f>
        <v>342333.59841976414</v>
      </c>
      <c r="H321" s="394">
        <f>IFERROR(IF(Loan_Not_Paid*Values_Entered,Ending_Balance,""), "")</f>
        <v>62250672.387707591</v>
      </c>
    </row>
    <row r="322" spans="2:8">
      <c r="B322" s="396">
        <f>IFERROR(IF(Loan_Not_Paid*Values_Entered,Payment_Number,""), "")</f>
        <v>305</v>
      </c>
      <c r="C322" s="395"/>
      <c r="D322" s="394">
        <f>IFERROR(IF(Loan_Not_Paid*Values_Entered,Beginning_Balance,""), "")</f>
        <v>62250672.387707591</v>
      </c>
      <c r="E322" s="394">
        <f>IFERROR(IF(Loan_Not_Paid*Values_Entered,Monthly_Payment,""), "")</f>
        <v>1291710.1497487591</v>
      </c>
      <c r="F322" s="394">
        <f>IFERROR(IF(Loan_Not_Paid*Values_Entered,Principal,""), "")</f>
        <v>954519.00764869375</v>
      </c>
      <c r="G322" s="394">
        <f>IFERROR(IF(Loan_Not_Paid*Values_Entered,Interest,""), "")</f>
        <v>337191.14210006542</v>
      </c>
      <c r="H322" s="394">
        <f>IFERROR(IF(Loan_Not_Paid*Values_Entered,Ending_Balance,""), "")</f>
        <v>61296153.380059004</v>
      </c>
    </row>
    <row r="323" spans="2:8">
      <c r="B323" s="396">
        <f>IFERROR(IF(Loan_Not_Paid*Values_Entered,Payment_Number,""), "")</f>
        <v>306</v>
      </c>
      <c r="C323" s="395"/>
      <c r="D323" s="394">
        <f>IFERROR(IF(Loan_Not_Paid*Values_Entered,Beginning_Balance,""), "")</f>
        <v>61296153.380059004</v>
      </c>
      <c r="E323" s="394">
        <f>IFERROR(IF(Loan_Not_Paid*Values_Entered,Monthly_Payment,""), "")</f>
        <v>1291710.1497487591</v>
      </c>
      <c r="F323" s="394">
        <f>IFERROR(IF(Loan_Not_Paid*Values_Entered,Principal,""), "")</f>
        <v>959689.31894012413</v>
      </c>
      <c r="G323" s="394">
        <f>IFERROR(IF(Loan_Not_Paid*Values_Entered,Interest,""), "")</f>
        <v>332020.83080863493</v>
      </c>
      <c r="H323" s="394">
        <f>IFERROR(IF(Loan_Not_Paid*Values_Entered,Ending_Balance,""), "")</f>
        <v>60336464.061118841</v>
      </c>
    </row>
    <row r="324" spans="2:8">
      <c r="B324" s="396">
        <f>IFERROR(IF(Loan_Not_Paid*Values_Entered,Payment_Number,""), "")</f>
        <v>307</v>
      </c>
      <c r="C324" s="395"/>
      <c r="D324" s="394">
        <f>IFERROR(IF(Loan_Not_Paid*Values_Entered,Beginning_Balance,""), "")</f>
        <v>60336464.061118841</v>
      </c>
      <c r="E324" s="394">
        <f>IFERROR(IF(Loan_Not_Paid*Values_Entered,Monthly_Payment,""), "")</f>
        <v>1291710.1497487591</v>
      </c>
      <c r="F324" s="394">
        <f>IFERROR(IF(Loan_Not_Paid*Values_Entered,Principal,""), "")</f>
        <v>964887.63608438312</v>
      </c>
      <c r="G324" s="394">
        <f>IFERROR(IF(Loan_Not_Paid*Values_Entered,Interest,""), "")</f>
        <v>326822.51366437599</v>
      </c>
      <c r="H324" s="394">
        <f>IFERROR(IF(Loan_Not_Paid*Values_Entered,Ending_Balance,""), "")</f>
        <v>59371576.425034523</v>
      </c>
    </row>
    <row r="325" spans="2:8">
      <c r="B325" s="396">
        <f>IFERROR(IF(Loan_Not_Paid*Values_Entered,Payment_Number,""), "")</f>
        <v>308</v>
      </c>
      <c r="C325" s="395"/>
      <c r="D325" s="394">
        <f>IFERROR(IF(Loan_Not_Paid*Values_Entered,Beginning_Balance,""), "")</f>
        <v>59371576.425034523</v>
      </c>
      <c r="E325" s="394">
        <f>IFERROR(IF(Loan_Not_Paid*Values_Entered,Monthly_Payment,""), "")</f>
        <v>1291710.1497487591</v>
      </c>
      <c r="F325" s="394">
        <f>IFERROR(IF(Loan_Not_Paid*Values_Entered,Principal,""), "")</f>
        <v>970114.11077984015</v>
      </c>
      <c r="G325" s="394">
        <f>IFERROR(IF(Loan_Not_Paid*Values_Entered,Interest,""), "")</f>
        <v>321596.03896891885</v>
      </c>
      <c r="H325" s="394">
        <f>IFERROR(IF(Loan_Not_Paid*Values_Entered,Ending_Balance,""), "")</f>
        <v>58401462.314254642</v>
      </c>
    </row>
    <row r="326" spans="2:8">
      <c r="B326" s="396">
        <f>IFERROR(IF(Loan_Not_Paid*Values_Entered,Payment_Number,""), "")</f>
        <v>309</v>
      </c>
      <c r="C326" s="395"/>
      <c r="D326" s="394">
        <f>IFERROR(IF(Loan_Not_Paid*Values_Entered,Beginning_Balance,""), "")</f>
        <v>58401462.314254642</v>
      </c>
      <c r="E326" s="394">
        <f>IFERROR(IF(Loan_Not_Paid*Values_Entered,Monthly_Payment,""), "")</f>
        <v>1291710.1497487591</v>
      </c>
      <c r="F326" s="394">
        <f>IFERROR(IF(Loan_Not_Paid*Values_Entered,Principal,""), "")</f>
        <v>975368.89554656437</v>
      </c>
      <c r="G326" s="394">
        <f>IFERROR(IF(Loan_Not_Paid*Values_Entered,Interest,""), "")</f>
        <v>316341.25420219474</v>
      </c>
      <c r="H326" s="394">
        <f>IFERROR(IF(Loan_Not_Paid*Values_Entered,Ending_Balance,""), "")</f>
        <v>57426093.418708205</v>
      </c>
    </row>
    <row r="327" spans="2:8">
      <c r="B327" s="396">
        <f>IFERROR(IF(Loan_Not_Paid*Values_Entered,Payment_Number,""), "")</f>
        <v>310</v>
      </c>
      <c r="C327" s="395"/>
      <c r="D327" s="394">
        <f>IFERROR(IF(Loan_Not_Paid*Values_Entered,Beginning_Balance,""), "")</f>
        <v>57426093.418708205</v>
      </c>
      <c r="E327" s="394">
        <f>IFERROR(IF(Loan_Not_Paid*Values_Entered,Monthly_Payment,""), "")</f>
        <v>1291710.1497487591</v>
      </c>
      <c r="F327" s="394">
        <f>IFERROR(IF(Loan_Not_Paid*Values_Entered,Principal,""), "")</f>
        <v>980652.14373077487</v>
      </c>
      <c r="G327" s="394">
        <f>IFERROR(IF(Loan_Not_Paid*Values_Entered,Interest,""), "")</f>
        <v>311058.00601798424</v>
      </c>
      <c r="H327" s="394">
        <f>IFERROR(IF(Loan_Not_Paid*Values_Entered,Ending_Balance,""), "")</f>
        <v>56445441.274977207</v>
      </c>
    </row>
    <row r="328" spans="2:8">
      <c r="B328" s="396">
        <f>IFERROR(IF(Loan_Not_Paid*Values_Entered,Payment_Number,""), "")</f>
        <v>311</v>
      </c>
      <c r="C328" s="395"/>
      <c r="D328" s="394">
        <f>IFERROR(IF(Loan_Not_Paid*Values_Entered,Beginning_Balance,""), "")</f>
        <v>56445441.274977207</v>
      </c>
      <c r="E328" s="394">
        <f>IFERROR(IF(Loan_Not_Paid*Values_Entered,Monthly_Payment,""), "")</f>
        <v>1291710.1497487591</v>
      </c>
      <c r="F328" s="394">
        <f>IFERROR(IF(Loan_Not_Paid*Values_Entered,Principal,""), "")</f>
        <v>985964.00950931665</v>
      </c>
      <c r="G328" s="394">
        <f>IFERROR(IF(Loan_Not_Paid*Values_Entered,Interest,""), "")</f>
        <v>305746.14023944252</v>
      </c>
      <c r="H328" s="394">
        <f>IFERROR(IF(Loan_Not_Paid*Values_Entered,Ending_Balance,""), "")</f>
        <v>55459477.265468121</v>
      </c>
    </row>
    <row r="329" spans="2:8">
      <c r="B329" s="396">
        <f>IFERROR(IF(Loan_Not_Paid*Values_Entered,Payment_Number,""), "")</f>
        <v>312</v>
      </c>
      <c r="C329" s="395"/>
      <c r="D329" s="394">
        <f>IFERROR(IF(Loan_Not_Paid*Values_Entered,Beginning_Balance,""), "")</f>
        <v>55459477.265468121</v>
      </c>
      <c r="E329" s="394">
        <f>IFERROR(IF(Loan_Not_Paid*Values_Entered,Monthly_Payment,""), "")</f>
        <v>1291710.1497487591</v>
      </c>
      <c r="F329" s="394">
        <f>IFERROR(IF(Loan_Not_Paid*Values_Entered,Principal,""), "")</f>
        <v>991304.64789415873</v>
      </c>
      <c r="G329" s="394">
        <f>IFERROR(IF(Loan_Not_Paid*Values_Entered,Interest,""), "")</f>
        <v>300405.50185460033</v>
      </c>
      <c r="H329" s="394">
        <f>IFERROR(IF(Loan_Not_Paid*Values_Entered,Ending_Balance,""), "")</f>
        <v>54468172.617573857</v>
      </c>
    </row>
    <row r="330" spans="2:8">
      <c r="B330" s="396">
        <f>IFERROR(IF(Loan_Not_Paid*Values_Entered,Payment_Number,""), "")</f>
        <v>313</v>
      </c>
      <c r="C330" s="395"/>
      <c r="D330" s="394">
        <f>IFERROR(IF(Loan_Not_Paid*Values_Entered,Beginning_Balance,""), "")</f>
        <v>54468172.617573857</v>
      </c>
      <c r="E330" s="394">
        <f>IFERROR(IF(Loan_Not_Paid*Values_Entered,Monthly_Payment,""), "")</f>
        <v>1291710.1497487591</v>
      </c>
      <c r="F330" s="394">
        <f>IFERROR(IF(Loan_Not_Paid*Values_Entered,Principal,""), "")</f>
        <v>996674.2147369188</v>
      </c>
      <c r="G330" s="394">
        <f>IFERROR(IF(Loan_Not_Paid*Values_Entered,Interest,""), "")</f>
        <v>295035.93501184031</v>
      </c>
      <c r="H330" s="394">
        <f>IFERROR(IF(Loan_Not_Paid*Values_Entered,Ending_Balance,""), "")</f>
        <v>53471498.402837157</v>
      </c>
    </row>
    <row r="331" spans="2:8">
      <c r="B331" s="396">
        <f>IFERROR(IF(Loan_Not_Paid*Values_Entered,Payment_Number,""), "")</f>
        <v>314</v>
      </c>
      <c r="C331" s="395"/>
      <c r="D331" s="394">
        <f>IFERROR(IF(Loan_Not_Paid*Values_Entered,Beginning_Balance,""), "")</f>
        <v>53471498.402837157</v>
      </c>
      <c r="E331" s="394">
        <f>IFERROR(IF(Loan_Not_Paid*Values_Entered,Monthly_Payment,""), "")</f>
        <v>1291710.1497487591</v>
      </c>
      <c r="F331" s="394">
        <f>IFERROR(IF(Loan_Not_Paid*Values_Entered,Principal,""), "")</f>
        <v>1002072.8667334105</v>
      </c>
      <c r="G331" s="394">
        <f>IFERROR(IF(Loan_Not_Paid*Values_Entered,Interest,""), "")</f>
        <v>289637.28301534872</v>
      </c>
      <c r="H331" s="394">
        <f>IFERROR(IF(Loan_Not_Paid*Values_Entered,Ending_Balance,""), "")</f>
        <v>52469425.536103606</v>
      </c>
    </row>
    <row r="332" spans="2:8">
      <c r="B332" s="396">
        <f>IFERROR(IF(Loan_Not_Paid*Values_Entered,Payment_Number,""), "")</f>
        <v>315</v>
      </c>
      <c r="C332" s="395"/>
      <c r="D332" s="394">
        <f>IFERROR(IF(Loan_Not_Paid*Values_Entered,Beginning_Balance,""), "")</f>
        <v>52469425.536103606</v>
      </c>
      <c r="E332" s="394">
        <f>IFERROR(IF(Loan_Not_Paid*Values_Entered,Monthly_Payment,""), "")</f>
        <v>1291710.1497487591</v>
      </c>
      <c r="F332" s="394">
        <f>IFERROR(IF(Loan_Not_Paid*Values_Entered,Principal,""), "")</f>
        <v>1007500.7614282162</v>
      </c>
      <c r="G332" s="394">
        <f>IFERROR(IF(Loan_Not_Paid*Values_Entered,Interest,""), "")</f>
        <v>284209.38832054276</v>
      </c>
      <c r="H332" s="394">
        <f>IFERROR(IF(Loan_Not_Paid*Values_Entered,Ending_Balance,""), "")</f>
        <v>51461924.774675488</v>
      </c>
    </row>
    <row r="333" spans="2:8">
      <c r="B333" s="396">
        <f>IFERROR(IF(Loan_Not_Paid*Values_Entered,Payment_Number,""), "")</f>
        <v>316</v>
      </c>
      <c r="C333" s="395"/>
      <c r="D333" s="394">
        <f>IFERROR(IF(Loan_Not_Paid*Values_Entered,Beginning_Balance,""), "")</f>
        <v>51461924.774675488</v>
      </c>
      <c r="E333" s="394">
        <f>IFERROR(IF(Loan_Not_Paid*Values_Entered,Monthly_Payment,""), "")</f>
        <v>1291710.1497487591</v>
      </c>
      <c r="F333" s="394">
        <f>IFERROR(IF(Loan_Not_Paid*Values_Entered,Principal,""), "")</f>
        <v>1012958.0572192859</v>
      </c>
      <c r="G333" s="394">
        <f>IFERROR(IF(Loan_Not_Paid*Values_Entered,Interest,""), "")</f>
        <v>278752.09252947319</v>
      </c>
      <c r="H333" s="394">
        <f>IFERROR(IF(Loan_Not_Paid*Values_Entered,Ending_Balance,""), "")</f>
        <v>50448966.717456341</v>
      </c>
    </row>
    <row r="334" spans="2:8">
      <c r="B334" s="396">
        <f>IFERROR(IF(Loan_Not_Paid*Values_Entered,Payment_Number,""), "")</f>
        <v>317</v>
      </c>
      <c r="C334" s="395"/>
      <c r="D334" s="394">
        <f>IFERROR(IF(Loan_Not_Paid*Values_Entered,Beginning_Balance,""), "")</f>
        <v>50448966.717456341</v>
      </c>
      <c r="E334" s="394">
        <f>IFERROR(IF(Loan_Not_Paid*Values_Entered,Monthly_Payment,""), "")</f>
        <v>1291710.1497487591</v>
      </c>
      <c r="F334" s="394">
        <f>IFERROR(IF(Loan_Not_Paid*Values_Entered,Principal,""), "")</f>
        <v>1018444.9133625571</v>
      </c>
      <c r="G334" s="394">
        <f>IFERROR(IF(Loan_Not_Paid*Values_Entered,Interest,""), "")</f>
        <v>273265.2363862021</v>
      </c>
      <c r="H334" s="394">
        <f>IFERROR(IF(Loan_Not_Paid*Values_Entered,Ending_Balance,""), "")</f>
        <v>49430521.804093838</v>
      </c>
    </row>
    <row r="335" spans="2:8">
      <c r="B335" s="396">
        <f>IFERROR(IF(Loan_Not_Paid*Values_Entered,Payment_Number,""), "")</f>
        <v>318</v>
      </c>
      <c r="C335" s="395"/>
      <c r="D335" s="394">
        <f>IFERROR(IF(Loan_Not_Paid*Values_Entered,Beginning_Balance,""), "")</f>
        <v>49430521.804093838</v>
      </c>
      <c r="E335" s="394">
        <f>IFERROR(IF(Loan_Not_Paid*Values_Entered,Monthly_Payment,""), "")</f>
        <v>1291710.1497487591</v>
      </c>
      <c r="F335" s="394">
        <f>IFERROR(IF(Loan_Not_Paid*Values_Entered,Principal,""), "")</f>
        <v>1023961.4899766041</v>
      </c>
      <c r="G335" s="394">
        <f>IFERROR(IF(Loan_Not_Paid*Values_Entered,Interest,""), "")</f>
        <v>267748.65977215488</v>
      </c>
      <c r="H335" s="394">
        <f>IFERROR(IF(Loan_Not_Paid*Values_Entered,Ending_Balance,""), "")</f>
        <v>48406560.314117432</v>
      </c>
    </row>
    <row r="336" spans="2:8">
      <c r="B336" s="396">
        <f>IFERROR(IF(Loan_Not_Paid*Values_Entered,Payment_Number,""), "")</f>
        <v>319</v>
      </c>
      <c r="C336" s="395"/>
      <c r="D336" s="394">
        <f>IFERROR(IF(Loan_Not_Paid*Values_Entered,Beginning_Balance,""), "")</f>
        <v>48406560.314117432</v>
      </c>
      <c r="E336" s="394">
        <f>IFERROR(IF(Loan_Not_Paid*Values_Entered,Monthly_Payment,""), "")</f>
        <v>1291710.1497487591</v>
      </c>
      <c r="F336" s="394">
        <f>IFERROR(IF(Loan_Not_Paid*Values_Entered,Principal,""), "")</f>
        <v>1029507.9480473108</v>
      </c>
      <c r="G336" s="394">
        <f>IFERROR(IF(Loan_Not_Paid*Values_Entered,Interest,""), "")</f>
        <v>262202.20170144824</v>
      </c>
      <c r="H336" s="394">
        <f>IFERROR(IF(Loan_Not_Paid*Values_Entered,Ending_Balance,""), "")</f>
        <v>47377052.366069794</v>
      </c>
    </row>
    <row r="337" spans="2:8">
      <c r="B337" s="396">
        <f>IFERROR(IF(Loan_Not_Paid*Values_Entered,Payment_Number,""), "")</f>
        <v>320</v>
      </c>
      <c r="C337" s="395"/>
      <c r="D337" s="394">
        <f>IFERROR(IF(Loan_Not_Paid*Values_Entered,Beginning_Balance,""), "")</f>
        <v>47377052.366069794</v>
      </c>
      <c r="E337" s="394">
        <f>IFERROR(IF(Loan_Not_Paid*Values_Entered,Monthly_Payment,""), "")</f>
        <v>1291710.1497487591</v>
      </c>
      <c r="F337" s="394">
        <f>IFERROR(IF(Loan_Not_Paid*Values_Entered,Principal,""), "")</f>
        <v>1035084.4494325671</v>
      </c>
      <c r="G337" s="394">
        <f>IFERROR(IF(Loan_Not_Paid*Values_Entered,Interest,""), "")</f>
        <v>256625.70031619197</v>
      </c>
      <c r="H337" s="394">
        <f>IFERROR(IF(Loan_Not_Paid*Values_Entered,Ending_Balance,""), "")</f>
        <v>46341967.916637421</v>
      </c>
    </row>
    <row r="338" spans="2:8">
      <c r="B338" s="396">
        <f>IFERROR(IF(Loan_Not_Paid*Values_Entered,Payment_Number,""), "")</f>
        <v>321</v>
      </c>
      <c r="C338" s="395"/>
      <c r="D338" s="394">
        <f>IFERROR(IF(Loan_Not_Paid*Values_Entered,Beginning_Balance,""), "")</f>
        <v>46341967.916637421</v>
      </c>
      <c r="E338" s="394">
        <f>IFERROR(IF(Loan_Not_Paid*Values_Entered,Monthly_Payment,""), "")</f>
        <v>1291710.1497487591</v>
      </c>
      <c r="F338" s="394">
        <f>IFERROR(IF(Loan_Not_Paid*Values_Entered,Principal,""), "")</f>
        <v>1040691.1568669935</v>
      </c>
      <c r="G338" s="394">
        <f>IFERROR(IF(Loan_Not_Paid*Values_Entered,Interest,""), "")</f>
        <v>251018.99288176559</v>
      </c>
      <c r="H338" s="394">
        <f>IFERROR(IF(Loan_Not_Paid*Values_Entered,Ending_Balance,""), "")</f>
        <v>45301276.759770393</v>
      </c>
    </row>
    <row r="339" spans="2:8">
      <c r="B339" s="396">
        <f>IFERROR(IF(Loan_Not_Paid*Values_Entered,Payment_Number,""), "")</f>
        <v>322</v>
      </c>
      <c r="C339" s="395"/>
      <c r="D339" s="394">
        <f>IFERROR(IF(Loan_Not_Paid*Values_Entered,Beginning_Balance,""), "")</f>
        <v>45301276.759770393</v>
      </c>
      <c r="E339" s="394">
        <f>IFERROR(IF(Loan_Not_Paid*Values_Entered,Monthly_Payment,""), "")</f>
        <v>1291710.1497487591</v>
      </c>
      <c r="F339" s="394">
        <f>IFERROR(IF(Loan_Not_Paid*Values_Entered,Principal,""), "")</f>
        <v>1046328.2339666897</v>
      </c>
      <c r="G339" s="394">
        <f>IFERROR(IF(Loan_Not_Paid*Values_Entered,Interest,""), "")</f>
        <v>245381.91578206938</v>
      </c>
      <c r="H339" s="394">
        <f>IFERROR(IF(Loan_Not_Paid*Values_Entered,Ending_Balance,""), "")</f>
        <v>44254948.525803566</v>
      </c>
    </row>
    <row r="340" spans="2:8">
      <c r="B340" s="396">
        <f>IFERROR(IF(Loan_Not_Paid*Values_Entered,Payment_Number,""), "")</f>
        <v>323</v>
      </c>
      <c r="C340" s="395"/>
      <c r="D340" s="394">
        <f>IFERROR(IF(Loan_Not_Paid*Values_Entered,Beginning_Balance,""), "")</f>
        <v>44254948.525803566</v>
      </c>
      <c r="E340" s="394">
        <f>IFERROR(IF(Loan_Not_Paid*Values_Entered,Monthly_Payment,""), "")</f>
        <v>1291710.1497487591</v>
      </c>
      <c r="F340" s="394">
        <f>IFERROR(IF(Loan_Not_Paid*Values_Entered,Principal,""), "")</f>
        <v>1051995.8452340092</v>
      </c>
      <c r="G340" s="394">
        <f>IFERROR(IF(Loan_Not_Paid*Values_Entered,Interest,""), "")</f>
        <v>239714.30451474979</v>
      </c>
      <c r="H340" s="394">
        <f>IFERROR(IF(Loan_Not_Paid*Values_Entered,Ending_Balance,""), "")</f>
        <v>43202952.680569649</v>
      </c>
    </row>
    <row r="341" spans="2:8">
      <c r="B341" s="396">
        <f>IFERROR(IF(Loan_Not_Paid*Values_Entered,Payment_Number,""), "")</f>
        <v>324</v>
      </c>
      <c r="C341" s="395"/>
      <c r="D341" s="394">
        <f>IFERROR(IF(Loan_Not_Paid*Values_Entered,Beginning_Balance,""), "")</f>
        <v>43202952.680569649</v>
      </c>
      <c r="E341" s="394">
        <f>IFERROR(IF(Loan_Not_Paid*Values_Entered,Monthly_Payment,""), "")</f>
        <v>1291710.1497487591</v>
      </c>
      <c r="F341" s="394">
        <f>IFERROR(IF(Loan_Not_Paid*Values_Entered,Principal,""), "")</f>
        <v>1057694.1560623602</v>
      </c>
      <c r="G341" s="394">
        <f>IFERROR(IF(Loan_Not_Paid*Values_Entered,Interest,""), "")</f>
        <v>234015.99368639893</v>
      </c>
      <c r="H341" s="394">
        <f>IFERROR(IF(Loan_Not_Paid*Values_Entered,Ending_Balance,""), "")</f>
        <v>42145258.524507284</v>
      </c>
    </row>
    <row r="342" spans="2:8">
      <c r="B342" s="396">
        <f>IFERROR(IF(Loan_Not_Paid*Values_Entered,Payment_Number,""), "")</f>
        <v>325</v>
      </c>
      <c r="C342" s="395"/>
      <c r="D342" s="394">
        <f>IFERROR(IF(Loan_Not_Paid*Values_Entered,Beginning_Balance,""), "")</f>
        <v>42145258.524507284</v>
      </c>
      <c r="E342" s="394">
        <f>IFERROR(IF(Loan_Not_Paid*Values_Entered,Monthly_Payment,""), "")</f>
        <v>1291710.1497487591</v>
      </c>
      <c r="F342" s="394">
        <f>IFERROR(IF(Loan_Not_Paid*Values_Entered,Principal,""), "")</f>
        <v>1063423.3327410314</v>
      </c>
      <c r="G342" s="394">
        <f>IFERROR(IF(Loan_Not_Paid*Values_Entered,Interest,""), "")</f>
        <v>228286.81700772778</v>
      </c>
      <c r="H342" s="394">
        <f>IFERROR(IF(Loan_Not_Paid*Values_Entered,Ending_Balance,""), "")</f>
        <v>41081835.1917665</v>
      </c>
    </row>
    <row r="343" spans="2:8">
      <c r="B343" s="396">
        <f>IFERROR(IF(Loan_Not_Paid*Values_Entered,Payment_Number,""), "")</f>
        <v>326</v>
      </c>
      <c r="C343" s="395"/>
      <c r="D343" s="394">
        <f>IFERROR(IF(Loan_Not_Paid*Values_Entered,Beginning_Balance,""), "")</f>
        <v>41081835.1917665</v>
      </c>
      <c r="E343" s="394">
        <f>IFERROR(IF(Loan_Not_Paid*Values_Entered,Monthly_Payment,""), "")</f>
        <v>1291710.1497487591</v>
      </c>
      <c r="F343" s="394">
        <f>IFERROR(IF(Loan_Not_Paid*Values_Entered,Principal,""), "")</f>
        <v>1069183.5424600451</v>
      </c>
      <c r="G343" s="394">
        <f>IFERROR(IF(Loan_Not_Paid*Values_Entered,Interest,""), "")</f>
        <v>222526.60728871386</v>
      </c>
      <c r="H343" s="394">
        <f>IFERROR(IF(Loan_Not_Paid*Values_Entered,Ending_Balance,""), "")</f>
        <v>40012651.649306536</v>
      </c>
    </row>
    <row r="344" spans="2:8">
      <c r="B344" s="396">
        <f>IFERROR(IF(Loan_Not_Paid*Values_Entered,Payment_Number,""), "")</f>
        <v>327</v>
      </c>
      <c r="C344" s="395"/>
      <c r="D344" s="394">
        <f>IFERROR(IF(Loan_Not_Paid*Values_Entered,Beginning_Balance,""), "")</f>
        <v>40012651.649306536</v>
      </c>
      <c r="E344" s="394">
        <f>IFERROR(IF(Loan_Not_Paid*Values_Entered,Monthly_Payment,""), "")</f>
        <v>1291710.1497487591</v>
      </c>
      <c r="F344" s="394">
        <f>IFERROR(IF(Loan_Not_Paid*Values_Entered,Principal,""), "")</f>
        <v>1074974.9533150371</v>
      </c>
      <c r="G344" s="394">
        <f>IFERROR(IF(Loan_Not_Paid*Values_Entered,Interest,""), "")</f>
        <v>216735.19643372198</v>
      </c>
      <c r="H344" s="394">
        <f>IFERROR(IF(Loan_Not_Paid*Values_Entered,Ending_Balance,""), "")</f>
        <v>38937676.695991516</v>
      </c>
    </row>
    <row r="345" spans="2:8">
      <c r="B345" s="396">
        <f>IFERROR(IF(Loan_Not_Paid*Values_Entered,Payment_Number,""), "")</f>
        <v>328</v>
      </c>
      <c r="C345" s="395"/>
      <c r="D345" s="394">
        <f>IFERROR(IF(Loan_Not_Paid*Values_Entered,Beginning_Balance,""), "")</f>
        <v>38937676.695991516</v>
      </c>
      <c r="E345" s="394">
        <f>IFERROR(IF(Loan_Not_Paid*Values_Entered,Monthly_Payment,""), "")</f>
        <v>1291710.1497487591</v>
      </c>
      <c r="F345" s="394">
        <f>IFERROR(IF(Loan_Not_Paid*Values_Entered,Principal,""), "")</f>
        <v>1080797.7343121604</v>
      </c>
      <c r="G345" s="394">
        <f>IFERROR(IF(Loan_Not_Paid*Values_Entered,Interest,""), "")</f>
        <v>210912.41543659885</v>
      </c>
      <c r="H345" s="394">
        <f>IFERROR(IF(Loan_Not_Paid*Values_Entered,Ending_Balance,""), "")</f>
        <v>37856878.961679459</v>
      </c>
    </row>
    <row r="346" spans="2:8">
      <c r="B346" s="396">
        <f>IFERROR(IF(Loan_Not_Paid*Values_Entered,Payment_Number,""), "")</f>
        <v>329</v>
      </c>
      <c r="C346" s="395"/>
      <c r="D346" s="394">
        <f>IFERROR(IF(Loan_Not_Paid*Values_Entered,Beginning_Balance,""), "")</f>
        <v>37856878.961679459</v>
      </c>
      <c r="E346" s="394">
        <f>IFERROR(IF(Loan_Not_Paid*Values_Entered,Monthly_Payment,""), "")</f>
        <v>1291710.1497487591</v>
      </c>
      <c r="F346" s="394">
        <f>IFERROR(IF(Loan_Not_Paid*Values_Entered,Principal,""), "")</f>
        <v>1086652.0553730179</v>
      </c>
      <c r="G346" s="394">
        <f>IFERROR(IF(Loan_Not_Paid*Values_Entered,Interest,""), "")</f>
        <v>205058.09437574135</v>
      </c>
      <c r="H346" s="394">
        <f>IFERROR(IF(Loan_Not_Paid*Values_Entered,Ending_Balance,""), "")</f>
        <v>36770226.906306267</v>
      </c>
    </row>
    <row r="347" spans="2:8">
      <c r="B347" s="396">
        <f>IFERROR(IF(Loan_Not_Paid*Values_Entered,Payment_Number,""), "")</f>
        <v>330</v>
      </c>
      <c r="C347" s="395"/>
      <c r="D347" s="394">
        <f>IFERROR(IF(Loan_Not_Paid*Values_Entered,Beginning_Balance,""), "")</f>
        <v>36770226.906306267</v>
      </c>
      <c r="E347" s="394">
        <f>IFERROR(IF(Loan_Not_Paid*Values_Entered,Monthly_Payment,""), "")</f>
        <v>1291710.1497487591</v>
      </c>
      <c r="F347" s="394">
        <f>IFERROR(IF(Loan_Not_Paid*Values_Entered,Principal,""), "")</f>
        <v>1092538.0873396217</v>
      </c>
      <c r="G347" s="394">
        <f>IFERROR(IF(Loan_Not_Paid*Values_Entered,Interest,""), "")</f>
        <v>199172.06240913749</v>
      </c>
      <c r="H347" s="394">
        <f>IFERROR(IF(Loan_Not_Paid*Values_Entered,Ending_Balance,""), "")</f>
        <v>35677688.818966627</v>
      </c>
    </row>
    <row r="348" spans="2:8">
      <c r="B348" s="396">
        <f>IFERROR(IF(Loan_Not_Paid*Values_Entered,Payment_Number,""), "")</f>
        <v>331</v>
      </c>
      <c r="C348" s="395"/>
      <c r="D348" s="394">
        <f>IFERROR(IF(Loan_Not_Paid*Values_Entered,Beginning_Balance,""), "")</f>
        <v>35677688.818966627</v>
      </c>
      <c r="E348" s="394">
        <f>IFERROR(IF(Loan_Not_Paid*Values_Entered,Monthly_Payment,""), "")</f>
        <v>1291710.1497487591</v>
      </c>
      <c r="F348" s="394">
        <f>IFERROR(IF(Loan_Not_Paid*Values_Entered,Principal,""), "")</f>
        <v>1098456.0019793778</v>
      </c>
      <c r="G348" s="394">
        <f>IFERROR(IF(Loan_Not_Paid*Values_Entered,Interest,""), "")</f>
        <v>193254.14776938118</v>
      </c>
      <c r="H348" s="394">
        <f>IFERROR(IF(Loan_Not_Paid*Values_Entered,Ending_Balance,""), "")</f>
        <v>34579232.816987514</v>
      </c>
    </row>
    <row r="349" spans="2:8">
      <c r="B349" s="396">
        <f>IFERROR(IF(Loan_Not_Paid*Values_Entered,Payment_Number,""), "")</f>
        <v>332</v>
      </c>
      <c r="C349" s="395"/>
      <c r="D349" s="394">
        <f>IFERROR(IF(Loan_Not_Paid*Values_Entered,Beginning_Balance,""), "")</f>
        <v>34579232.816987514</v>
      </c>
      <c r="E349" s="394">
        <f>IFERROR(IF(Loan_Not_Paid*Values_Entered,Monthly_Payment,""), "")</f>
        <v>1291710.1497487591</v>
      </c>
      <c r="F349" s="394">
        <f>IFERROR(IF(Loan_Not_Paid*Values_Entered,Principal,""), "")</f>
        <v>1104405.9719900994</v>
      </c>
      <c r="G349" s="394">
        <f>IFERROR(IF(Loan_Not_Paid*Values_Entered,Interest,""), "")</f>
        <v>187304.17775865953</v>
      </c>
      <c r="H349" s="394">
        <f>IFERROR(IF(Loan_Not_Paid*Values_Entered,Ending_Balance,""), "")</f>
        <v>33474826.844997406</v>
      </c>
    </row>
    <row r="350" spans="2:8">
      <c r="B350" s="396">
        <f>IFERROR(IF(Loan_Not_Paid*Values_Entered,Payment_Number,""), "")</f>
        <v>333</v>
      </c>
      <c r="C350" s="395"/>
      <c r="D350" s="394">
        <f>IFERROR(IF(Loan_Not_Paid*Values_Entered,Beginning_Balance,""), "")</f>
        <v>33474826.844997406</v>
      </c>
      <c r="E350" s="394">
        <f>IFERROR(IF(Loan_Not_Paid*Values_Entered,Monthly_Payment,""), "")</f>
        <v>1291710.1497487591</v>
      </c>
      <c r="F350" s="394">
        <f>IFERROR(IF(Loan_Not_Paid*Values_Entered,Principal,""), "")</f>
        <v>1110388.171005046</v>
      </c>
      <c r="G350" s="394">
        <f>IFERROR(IF(Loan_Not_Paid*Values_Entered,Interest,""), "")</f>
        <v>181321.9787437132</v>
      </c>
      <c r="H350" s="394">
        <f>IFERROR(IF(Loan_Not_Paid*Values_Entered,Ending_Balance,""), "")</f>
        <v>32364438.673992157</v>
      </c>
    </row>
    <row r="351" spans="2:8">
      <c r="B351" s="396">
        <f>IFERROR(IF(Loan_Not_Paid*Values_Entered,Payment_Number,""), "")</f>
        <v>334</v>
      </c>
      <c r="C351" s="395"/>
      <c r="D351" s="394">
        <f>IFERROR(IF(Loan_Not_Paid*Values_Entered,Beginning_Balance,""), "")</f>
        <v>32364438.673992157</v>
      </c>
      <c r="E351" s="394">
        <f>IFERROR(IF(Loan_Not_Paid*Values_Entered,Monthly_Payment,""), "")</f>
        <v>1291710.1497487591</v>
      </c>
      <c r="F351" s="394">
        <f>IFERROR(IF(Loan_Not_Paid*Values_Entered,Principal,""), "")</f>
        <v>1116402.7735979899</v>
      </c>
      <c r="G351" s="394">
        <f>IFERROR(IF(Loan_Not_Paid*Values_Entered,Interest,""), "")</f>
        <v>175307.37615076918</v>
      </c>
      <c r="H351" s="394">
        <f>IFERROR(IF(Loan_Not_Paid*Values_Entered,Ending_Balance,""), "")</f>
        <v>31248035.900394201</v>
      </c>
    </row>
    <row r="352" spans="2:8">
      <c r="B352" s="396">
        <f>IFERROR(IF(Loan_Not_Paid*Values_Entered,Payment_Number,""), "")</f>
        <v>335</v>
      </c>
      <c r="C352" s="395"/>
      <c r="D352" s="394">
        <f>IFERROR(IF(Loan_Not_Paid*Values_Entered,Beginning_Balance,""), "")</f>
        <v>31248035.900394201</v>
      </c>
      <c r="E352" s="394">
        <f>IFERROR(IF(Loan_Not_Paid*Values_Entered,Monthly_Payment,""), "")</f>
        <v>1291710.1497487591</v>
      </c>
      <c r="F352" s="394">
        <f>IFERROR(IF(Loan_Not_Paid*Values_Entered,Principal,""), "")</f>
        <v>1122449.9552883124</v>
      </c>
      <c r="G352" s="394">
        <f>IFERROR(IF(Loan_Not_Paid*Values_Entered,Interest,""), "")</f>
        <v>169260.19446044674</v>
      </c>
      <c r="H352" s="394">
        <f>IFERROR(IF(Loan_Not_Paid*Values_Entered,Ending_Balance,""), "")</f>
        <v>30125585.94510603</v>
      </c>
    </row>
    <row r="353" spans="2:8">
      <c r="B353" s="396">
        <f>IFERROR(IF(Loan_Not_Paid*Values_Entered,Payment_Number,""), "")</f>
        <v>336</v>
      </c>
      <c r="C353" s="395"/>
      <c r="D353" s="394">
        <f>IFERROR(IF(Loan_Not_Paid*Values_Entered,Beginning_Balance,""), "")</f>
        <v>30125585.94510603</v>
      </c>
      <c r="E353" s="394">
        <f>IFERROR(IF(Loan_Not_Paid*Values_Entered,Monthly_Payment,""), "")</f>
        <v>1291710.1497487591</v>
      </c>
      <c r="F353" s="394">
        <f>IFERROR(IF(Loan_Not_Paid*Values_Entered,Principal,""), "")</f>
        <v>1128529.8925461241</v>
      </c>
      <c r="G353" s="394">
        <f>IFERROR(IF(Loan_Not_Paid*Values_Entered,Interest,""), "")</f>
        <v>163180.25720263505</v>
      </c>
      <c r="H353" s="394">
        <f>IFERROR(IF(Loan_Not_Paid*Values_Entered,Ending_Balance,""), "")</f>
        <v>28997056.052559853</v>
      </c>
    </row>
    <row r="354" spans="2:8">
      <c r="B354" s="396">
        <f>IFERROR(IF(Loan_Not_Paid*Values_Entered,Payment_Number,""), "")</f>
        <v>337</v>
      </c>
      <c r="C354" s="395"/>
      <c r="D354" s="394">
        <f>IFERROR(IF(Loan_Not_Paid*Values_Entered,Beginning_Balance,""), "")</f>
        <v>28997056.052559853</v>
      </c>
      <c r="E354" s="394">
        <f>IFERROR(IF(Loan_Not_Paid*Values_Entered,Monthly_Payment,""), "")</f>
        <v>1291710.1497487591</v>
      </c>
      <c r="F354" s="394">
        <f>IFERROR(IF(Loan_Not_Paid*Values_Entered,Principal,""), "")</f>
        <v>1134642.7627974157</v>
      </c>
      <c r="G354" s="394">
        <f>IFERROR(IF(Loan_Not_Paid*Values_Entered,Interest,""), "")</f>
        <v>157067.38695134353</v>
      </c>
      <c r="H354" s="394">
        <f>IFERROR(IF(Loan_Not_Paid*Values_Entered,Ending_Balance,""), "")</f>
        <v>27862413.289762497</v>
      </c>
    </row>
    <row r="355" spans="2:8">
      <c r="B355" s="396">
        <f>IFERROR(IF(Loan_Not_Paid*Values_Entered,Payment_Number,""), "")</f>
        <v>338</v>
      </c>
      <c r="C355" s="395"/>
      <c r="D355" s="394">
        <f>IFERROR(IF(Loan_Not_Paid*Values_Entered,Beginning_Balance,""), "")</f>
        <v>27862413.289762497</v>
      </c>
      <c r="E355" s="394">
        <f>IFERROR(IF(Loan_Not_Paid*Values_Entered,Monthly_Payment,""), "")</f>
        <v>1291710.1497487591</v>
      </c>
      <c r="F355" s="394">
        <f>IFERROR(IF(Loan_Not_Paid*Values_Entered,Principal,""), "")</f>
        <v>1140788.7444292349</v>
      </c>
      <c r="G355" s="394">
        <f>IFERROR(IF(Loan_Not_Paid*Values_Entered,Interest,""), "")</f>
        <v>150921.4053195242</v>
      </c>
      <c r="H355" s="394">
        <f>IFERROR(IF(Loan_Not_Paid*Values_Entered,Ending_Balance,""), "")</f>
        <v>26721624.545333385</v>
      </c>
    </row>
    <row r="356" spans="2:8">
      <c r="B356" s="396">
        <f>IFERROR(IF(Loan_Not_Paid*Values_Entered,Payment_Number,""), "")</f>
        <v>339</v>
      </c>
      <c r="C356" s="395"/>
      <c r="D356" s="394">
        <f>IFERROR(IF(Loan_Not_Paid*Values_Entered,Beginning_Balance,""), "")</f>
        <v>26721624.545333385</v>
      </c>
      <c r="E356" s="394">
        <f>IFERROR(IF(Loan_Not_Paid*Values_Entered,Monthly_Payment,""), "")</f>
        <v>1291710.1497487591</v>
      </c>
      <c r="F356" s="394">
        <f>IFERROR(IF(Loan_Not_Paid*Values_Entered,Principal,""), "")</f>
        <v>1146968.0167948932</v>
      </c>
      <c r="G356" s="394">
        <f>IFERROR(IF(Loan_Not_Paid*Values_Entered,Interest,""), "")</f>
        <v>144742.13295386586</v>
      </c>
      <c r="H356" s="394">
        <f>IFERROR(IF(Loan_Not_Paid*Values_Entered,Ending_Balance,""), "")</f>
        <v>25574656.528538465</v>
      </c>
    </row>
    <row r="357" spans="2:8">
      <c r="B357" s="396">
        <f>IFERROR(IF(Loan_Not_Paid*Values_Entered,Payment_Number,""), "")</f>
        <v>340</v>
      </c>
      <c r="C357" s="395"/>
      <c r="D357" s="394">
        <f>IFERROR(IF(Loan_Not_Paid*Values_Entered,Beginning_Balance,""), "")</f>
        <v>25574656.528538465</v>
      </c>
      <c r="E357" s="394">
        <f>IFERROR(IF(Loan_Not_Paid*Values_Entered,Monthly_Payment,""), "")</f>
        <v>1291710.1497487591</v>
      </c>
      <c r="F357" s="394">
        <f>IFERROR(IF(Loan_Not_Paid*Values_Entered,Principal,""), "")</f>
        <v>1153180.7602191989</v>
      </c>
      <c r="G357" s="394">
        <f>IFERROR(IF(Loan_Not_Paid*Values_Entered,Interest,""), "")</f>
        <v>138529.38952956017</v>
      </c>
      <c r="H357" s="394">
        <f>IFERROR(IF(Loan_Not_Paid*Values_Entered,Ending_Balance,""), "")</f>
        <v>24421475.768319368</v>
      </c>
    </row>
    <row r="358" spans="2:8">
      <c r="B358" s="396">
        <f>IFERROR(IF(Loan_Not_Paid*Values_Entered,Payment_Number,""), "")</f>
        <v>341</v>
      </c>
      <c r="C358" s="395"/>
      <c r="D358" s="394">
        <f>IFERROR(IF(Loan_Not_Paid*Values_Entered,Beginning_Balance,""), "")</f>
        <v>24421475.768319368</v>
      </c>
      <c r="E358" s="394">
        <f>IFERROR(IF(Loan_Not_Paid*Values_Entered,Monthly_Payment,""), "")</f>
        <v>1291710.1497487591</v>
      </c>
      <c r="F358" s="394">
        <f>IFERROR(IF(Loan_Not_Paid*Values_Entered,Principal,""), "")</f>
        <v>1159427.1560037197</v>
      </c>
      <c r="G358" s="394">
        <f>IFERROR(IF(Loan_Not_Paid*Values_Entered,Interest,""), "")</f>
        <v>132282.99374503951</v>
      </c>
      <c r="H358" s="394">
        <f>IFERROR(IF(Loan_Not_Paid*Values_Entered,Ending_Balance,""), "")</f>
        <v>23262048.612315655</v>
      </c>
    </row>
    <row r="359" spans="2:8">
      <c r="B359" s="396">
        <f>IFERROR(IF(Loan_Not_Paid*Values_Entered,Payment_Number,""), "")</f>
        <v>342</v>
      </c>
      <c r="C359" s="395"/>
      <c r="D359" s="394">
        <f>IFERROR(IF(Loan_Not_Paid*Values_Entered,Beginning_Balance,""), "")</f>
        <v>23262048.612315655</v>
      </c>
      <c r="E359" s="394">
        <f>IFERROR(IF(Loan_Not_Paid*Values_Entered,Monthly_Payment,""), "")</f>
        <v>1291710.1497487591</v>
      </c>
      <c r="F359" s="394">
        <f>IFERROR(IF(Loan_Not_Paid*Values_Entered,Principal,""), "")</f>
        <v>1165707.3864320731</v>
      </c>
      <c r="G359" s="394">
        <f>IFERROR(IF(Loan_Not_Paid*Values_Entered,Interest,""), "")</f>
        <v>126002.76331668603</v>
      </c>
      <c r="H359" s="394">
        <f>IFERROR(IF(Loan_Not_Paid*Values_Entered,Ending_Balance,""), "")</f>
        <v>22096341.225883722</v>
      </c>
    </row>
    <row r="360" spans="2:8">
      <c r="B360" s="396">
        <f>IFERROR(IF(Loan_Not_Paid*Values_Entered,Payment_Number,""), "")</f>
        <v>343</v>
      </c>
      <c r="C360" s="395"/>
      <c r="D360" s="394">
        <f>IFERROR(IF(Loan_Not_Paid*Values_Entered,Beginning_Balance,""), "")</f>
        <v>22096341.225883722</v>
      </c>
      <c r="E360" s="394">
        <f>IFERROR(IF(Loan_Not_Paid*Values_Entered,Monthly_Payment,""), "")</f>
        <v>1291710.1497487591</v>
      </c>
      <c r="F360" s="394">
        <f>IFERROR(IF(Loan_Not_Paid*Values_Entered,Principal,""), "")</f>
        <v>1172021.6347752467</v>
      </c>
      <c r="G360" s="394">
        <f>IFERROR(IF(Loan_Not_Paid*Values_Entered,Interest,""), "")</f>
        <v>119688.51497351231</v>
      </c>
      <c r="H360" s="394">
        <f>IFERROR(IF(Loan_Not_Paid*Values_Entered,Ending_Balance,""), "")</f>
        <v>20924319.591108561</v>
      </c>
    </row>
    <row r="361" spans="2:8">
      <c r="B361" s="396">
        <f>IFERROR(IF(Loan_Not_Paid*Values_Entered,Payment_Number,""), "")</f>
        <v>344</v>
      </c>
      <c r="C361" s="395"/>
      <c r="D361" s="394">
        <f>IFERROR(IF(Loan_Not_Paid*Values_Entered,Beginning_Balance,""), "")</f>
        <v>20924319.591108561</v>
      </c>
      <c r="E361" s="394">
        <f>IFERROR(IF(Loan_Not_Paid*Values_Entered,Monthly_Payment,""), "")</f>
        <v>1291710.1497487591</v>
      </c>
      <c r="F361" s="394">
        <f>IFERROR(IF(Loan_Not_Paid*Values_Entered,Principal,""), "")</f>
        <v>1178370.0852969461</v>
      </c>
      <c r="G361" s="394">
        <f>IFERROR(IF(Loan_Not_Paid*Values_Entered,Interest,""), "")</f>
        <v>113340.06445181306</v>
      </c>
      <c r="H361" s="394">
        <f>IFERROR(IF(Loan_Not_Paid*Values_Entered,Ending_Balance,""), "")</f>
        <v>19745949.505811453</v>
      </c>
    </row>
    <row r="362" spans="2:8">
      <c r="B362" s="396">
        <f>IFERROR(IF(Loan_Not_Paid*Values_Entered,Payment_Number,""), "")</f>
        <v>345</v>
      </c>
      <c r="C362" s="395"/>
      <c r="D362" s="394">
        <f>IFERROR(IF(Loan_Not_Paid*Values_Entered,Beginning_Balance,""), "")</f>
        <v>19745949.505811453</v>
      </c>
      <c r="E362" s="394">
        <f>IFERROR(IF(Loan_Not_Paid*Values_Entered,Monthly_Payment,""), "")</f>
        <v>1291710.1497487591</v>
      </c>
      <c r="F362" s="394">
        <f>IFERROR(IF(Loan_Not_Paid*Values_Entered,Principal,""), "")</f>
        <v>1184752.9232589712</v>
      </c>
      <c r="G362" s="394">
        <f>IFERROR(IF(Loan_Not_Paid*Values_Entered,Interest,""), "")</f>
        <v>106957.22648978791</v>
      </c>
      <c r="H362" s="394">
        <f>IFERROR(IF(Loan_Not_Paid*Values_Entered,Ending_Balance,""), "")</f>
        <v>18561196.582552671</v>
      </c>
    </row>
    <row r="363" spans="2:8">
      <c r="B363" s="396">
        <f>IFERROR(IF(Loan_Not_Paid*Values_Entered,Payment_Number,""), "")</f>
        <v>346</v>
      </c>
      <c r="C363" s="395"/>
      <c r="D363" s="394">
        <f>IFERROR(IF(Loan_Not_Paid*Values_Entered,Beginning_Balance,""), "")</f>
        <v>18561196.582552671</v>
      </c>
      <c r="E363" s="394">
        <f>IFERROR(IF(Loan_Not_Paid*Values_Entered,Monthly_Payment,""), "")</f>
        <v>1291710.1497487591</v>
      </c>
      <c r="F363" s="394">
        <f>IFERROR(IF(Loan_Not_Paid*Values_Entered,Principal,""), "")</f>
        <v>1191170.3349266239</v>
      </c>
      <c r="G363" s="394">
        <f>IFERROR(IF(Loan_Not_Paid*Values_Entered,Interest,""), "")</f>
        <v>100539.81482213514</v>
      </c>
      <c r="H363" s="394">
        <f>IFERROR(IF(Loan_Not_Paid*Values_Entered,Ending_Balance,""), "")</f>
        <v>17370026.247626066</v>
      </c>
    </row>
    <row r="364" spans="2:8">
      <c r="B364" s="396">
        <f>IFERROR(IF(Loan_Not_Paid*Values_Entered,Payment_Number,""), "")</f>
        <v>347</v>
      </c>
      <c r="C364" s="395"/>
      <c r="D364" s="394">
        <f>IFERROR(IF(Loan_Not_Paid*Values_Entered,Beginning_Balance,""), "")</f>
        <v>17370026.247626066</v>
      </c>
      <c r="E364" s="394">
        <f>IFERROR(IF(Loan_Not_Paid*Values_Entered,Monthly_Payment,""), "")</f>
        <v>1291710.1497487591</v>
      </c>
      <c r="F364" s="394">
        <f>IFERROR(IF(Loan_Not_Paid*Values_Entered,Principal,""), "")</f>
        <v>1197622.5075741434</v>
      </c>
      <c r="G364" s="394">
        <f>IFERROR(IF(Loan_Not_Paid*Values_Entered,Interest,""), "")</f>
        <v>94087.642174615947</v>
      </c>
      <c r="H364" s="394">
        <f>IFERROR(IF(Loan_Not_Paid*Values_Entered,Ending_Balance,""), "")</f>
        <v>16172403.740051985</v>
      </c>
    </row>
    <row r="365" spans="2:8">
      <c r="B365" s="396">
        <f>IFERROR(IF(Loan_Not_Paid*Values_Entered,Payment_Number,""), "")</f>
        <v>348</v>
      </c>
      <c r="C365" s="395"/>
      <c r="D365" s="394">
        <f>IFERROR(IF(Loan_Not_Paid*Values_Entered,Beginning_Balance,""), "")</f>
        <v>16172403.740051985</v>
      </c>
      <c r="E365" s="394">
        <f>IFERROR(IF(Loan_Not_Paid*Values_Entered,Monthly_Payment,""), "")</f>
        <v>1291710.1497487591</v>
      </c>
      <c r="F365" s="394">
        <f>IFERROR(IF(Loan_Not_Paid*Values_Entered,Principal,""), "")</f>
        <v>1204109.6294901697</v>
      </c>
      <c r="G365" s="394">
        <f>IFERROR(IF(Loan_Not_Paid*Values_Entered,Interest,""), "")</f>
        <v>87600.520258589328</v>
      </c>
      <c r="H365" s="394">
        <f>IFERROR(IF(Loan_Not_Paid*Values_Entered,Ending_Balance,""), "")</f>
        <v>14968294.110561848</v>
      </c>
    </row>
    <row r="366" spans="2:8">
      <c r="B366" s="396">
        <f>IFERROR(IF(Loan_Not_Paid*Values_Entered,Payment_Number,""), "")</f>
        <v>349</v>
      </c>
      <c r="C366" s="395"/>
      <c r="D366" s="394">
        <f>IFERROR(IF(Loan_Not_Paid*Values_Entered,Beginning_Balance,""), "")</f>
        <v>14968294.110561848</v>
      </c>
      <c r="E366" s="394">
        <f>IFERROR(IF(Loan_Not_Paid*Values_Entered,Monthly_Payment,""), "")</f>
        <v>1291710.1497487591</v>
      </c>
      <c r="F366" s="394">
        <f>IFERROR(IF(Loan_Not_Paid*Values_Entered,Principal,""), "")</f>
        <v>1210631.8899832414</v>
      </c>
      <c r="G366" s="394">
        <f>IFERROR(IF(Loan_Not_Paid*Values_Entered,Interest,""), "")</f>
        <v>81078.259765517578</v>
      </c>
      <c r="H366" s="394">
        <f>IFERROR(IF(Loan_Not_Paid*Values_Entered,Ending_Balance,""), "")</f>
        <v>13757662.220578671</v>
      </c>
    </row>
    <row r="367" spans="2:8">
      <c r="B367" s="396">
        <f>IFERROR(IF(Loan_Not_Paid*Values_Entered,Payment_Number,""), "")</f>
        <v>350</v>
      </c>
      <c r="C367" s="395"/>
      <c r="D367" s="394">
        <f>IFERROR(IF(Loan_Not_Paid*Values_Entered,Beginning_Balance,""), "")</f>
        <v>13757662.220578671</v>
      </c>
      <c r="E367" s="394">
        <f>IFERROR(IF(Loan_Not_Paid*Values_Entered,Monthly_Payment,""), "")</f>
        <v>1291710.1497487591</v>
      </c>
      <c r="F367" s="394">
        <f>IFERROR(IF(Loan_Not_Paid*Values_Entered,Principal,""), "")</f>
        <v>1217189.4793873176</v>
      </c>
      <c r="G367" s="394">
        <f>IFERROR(IF(Loan_Not_Paid*Values_Entered,Interest,""), "")</f>
        <v>74520.670361441691</v>
      </c>
      <c r="H367" s="394">
        <f>IFERROR(IF(Loan_Not_Paid*Values_Entered,Ending_Balance,""), "")</f>
        <v>12540472.741191387</v>
      </c>
    </row>
    <row r="368" spans="2:8">
      <c r="B368" s="396">
        <f>IFERROR(IF(Loan_Not_Paid*Values_Entered,Payment_Number,""), "")</f>
        <v>351</v>
      </c>
      <c r="C368" s="395"/>
      <c r="D368" s="394">
        <f>IFERROR(IF(Loan_Not_Paid*Values_Entered,Beginning_Balance,""), "")</f>
        <v>12540472.741191387</v>
      </c>
      <c r="E368" s="394">
        <f>IFERROR(IF(Loan_Not_Paid*Values_Entered,Monthly_Payment,""), "")</f>
        <v>1291710.1497487591</v>
      </c>
      <c r="F368" s="394">
        <f>IFERROR(IF(Loan_Not_Paid*Values_Entered,Principal,""), "")</f>
        <v>1223782.589067332</v>
      </c>
      <c r="G368" s="394">
        <f>IFERROR(IF(Loan_Not_Paid*Values_Entered,Interest,""), "")</f>
        <v>67927.560681427043</v>
      </c>
      <c r="H368" s="394">
        <f>IFERROR(IF(Loan_Not_Paid*Values_Entered,Ending_Balance,""), "")</f>
        <v>11316690.152123928</v>
      </c>
    </row>
    <row r="369" spans="2:8">
      <c r="B369" s="396">
        <f>IFERROR(IF(Loan_Not_Paid*Values_Entered,Payment_Number,""), "")</f>
        <v>352</v>
      </c>
      <c r="C369" s="395"/>
      <c r="D369" s="394">
        <f>IFERROR(IF(Loan_Not_Paid*Values_Entered,Beginning_Balance,""), "")</f>
        <v>11316690.152123928</v>
      </c>
      <c r="E369" s="394">
        <f>IFERROR(IF(Loan_Not_Paid*Values_Entered,Monthly_Payment,""), "")</f>
        <v>1291710.1497487591</v>
      </c>
      <c r="F369" s="394">
        <f>IFERROR(IF(Loan_Not_Paid*Values_Entered,Principal,""), "")</f>
        <v>1230411.41142478</v>
      </c>
      <c r="G369" s="394">
        <f>IFERROR(IF(Loan_Not_Paid*Values_Entered,Interest,""), "")</f>
        <v>61298.738323978992</v>
      </c>
      <c r="H369" s="394">
        <f>IFERROR(IF(Loan_Not_Paid*Values_Entered,Ending_Balance,""), "")</f>
        <v>10086278.740699291</v>
      </c>
    </row>
    <row r="370" spans="2:8">
      <c r="B370" s="396">
        <f>IFERROR(IF(Loan_Not_Paid*Values_Entered,Payment_Number,""), "")</f>
        <v>353</v>
      </c>
      <c r="C370" s="395"/>
      <c r="D370" s="394">
        <f>IFERROR(IF(Loan_Not_Paid*Values_Entered,Beginning_Balance,""), "")</f>
        <v>10086278.740699291</v>
      </c>
      <c r="E370" s="394">
        <f>IFERROR(IF(Loan_Not_Paid*Values_Entered,Monthly_Payment,""), "")</f>
        <v>1291710.1497487591</v>
      </c>
      <c r="F370" s="394">
        <f>IFERROR(IF(Loan_Not_Paid*Values_Entered,Principal,""), "")</f>
        <v>1237076.1399033312</v>
      </c>
      <c r="G370" s="394">
        <f>IFERROR(IF(Loan_Not_Paid*Values_Entered,Interest,""), "")</f>
        <v>54634.009845428111</v>
      </c>
      <c r="H370" s="394">
        <f>IFERROR(IF(Loan_Not_Paid*Values_Entered,Ending_Balance,""), "")</f>
        <v>8849202.6007957458</v>
      </c>
    </row>
    <row r="371" spans="2:8">
      <c r="B371" s="396">
        <f>IFERROR(IF(Loan_Not_Paid*Values_Entered,Payment_Number,""), "")</f>
        <v>354</v>
      </c>
      <c r="C371" s="395"/>
      <c r="D371" s="394">
        <f>IFERROR(IF(Loan_Not_Paid*Values_Entered,Beginning_Balance,""), "")</f>
        <v>8849202.6007957458</v>
      </c>
      <c r="E371" s="394">
        <f>IFERROR(IF(Loan_Not_Paid*Values_Entered,Monthly_Payment,""), "")</f>
        <v>1291710.1497487591</v>
      </c>
      <c r="F371" s="394">
        <f>IFERROR(IF(Loan_Not_Paid*Values_Entered,Principal,""), "")</f>
        <v>1243776.968994474</v>
      </c>
      <c r="G371" s="394">
        <f>IFERROR(IF(Loan_Not_Paid*Values_Entered,Interest,""), "")</f>
        <v>47933.180754285058</v>
      </c>
      <c r="H371" s="394">
        <f>IFERROR(IF(Loan_Not_Paid*Values_Entered,Ending_Balance,""), "")</f>
        <v>7605425.6318016052</v>
      </c>
    </row>
    <row r="372" spans="2:8">
      <c r="B372" s="396">
        <f>IFERROR(IF(Loan_Not_Paid*Values_Entered,Payment_Number,""), "")</f>
        <v>355</v>
      </c>
      <c r="C372" s="395"/>
      <c r="D372" s="394">
        <f>IFERROR(IF(Loan_Not_Paid*Values_Entered,Beginning_Balance,""), "")</f>
        <v>7605425.6318016052</v>
      </c>
      <c r="E372" s="394">
        <f>IFERROR(IF(Loan_Not_Paid*Values_Entered,Monthly_Payment,""), "")</f>
        <v>1291710.1497487591</v>
      </c>
      <c r="F372" s="394">
        <f>IFERROR(IF(Loan_Not_Paid*Values_Entered,Principal,""), "")</f>
        <v>1250514.0942431942</v>
      </c>
      <c r="G372" s="394">
        <f>IFERROR(IF(Loan_Not_Paid*Values_Entered,Interest,""), "")</f>
        <v>41196.055505564989</v>
      </c>
      <c r="H372" s="394">
        <f>IFERROR(IF(Loan_Not_Paid*Values_Entered,Ending_Balance,""), "")</f>
        <v>6354911.5375583172</v>
      </c>
    </row>
    <row r="373" spans="2:8">
      <c r="B373" s="396">
        <f>IFERROR(IF(Loan_Not_Paid*Values_Entered,Payment_Number,""), "")</f>
        <v>356</v>
      </c>
      <c r="C373" s="395"/>
      <c r="D373" s="394">
        <f>IFERROR(IF(Loan_Not_Paid*Values_Entered,Beginning_Balance,""), "")</f>
        <v>6354911.5375583172</v>
      </c>
      <c r="E373" s="394">
        <f>IFERROR(IF(Loan_Not_Paid*Values_Entered,Monthly_Payment,""), "")</f>
        <v>1291710.1497487591</v>
      </c>
      <c r="F373" s="394">
        <f>IFERROR(IF(Loan_Not_Paid*Values_Entered,Principal,""), "")</f>
        <v>1257287.7122536781</v>
      </c>
      <c r="G373" s="394">
        <f>IFERROR(IF(Loan_Not_Paid*Values_Entered,Interest,""), "")</f>
        <v>34422.437495081023</v>
      </c>
      <c r="H373" s="394">
        <f>IFERROR(IF(Loan_Not_Paid*Values_Entered,Ending_Balance,""), "")</f>
        <v>5097623.8253047466</v>
      </c>
    </row>
    <row r="374" spans="2:8">
      <c r="B374" s="396">
        <f>IFERROR(IF(Loan_Not_Paid*Values_Entered,Payment_Number,""), "")</f>
        <v>357</v>
      </c>
      <c r="C374" s="395"/>
      <c r="D374" s="394">
        <f>IFERROR(IF(Loan_Not_Paid*Values_Entered,Beginning_Balance,""), "")</f>
        <v>5097623.8253047466</v>
      </c>
      <c r="E374" s="394">
        <f>IFERROR(IF(Loan_Not_Paid*Values_Entered,Monthly_Payment,""), "")</f>
        <v>1291710.1497487591</v>
      </c>
      <c r="F374" s="394">
        <f>IFERROR(IF(Loan_Not_Paid*Values_Entered,Principal,""), "")</f>
        <v>1264098.0206950521</v>
      </c>
      <c r="G374" s="394">
        <f>IFERROR(IF(Loan_Not_Paid*Values_Entered,Interest,""), "")</f>
        <v>27612.129053706929</v>
      </c>
      <c r="H374" s="394">
        <f>IFERROR(IF(Loan_Not_Paid*Values_Entered,Ending_Balance,""), "")</f>
        <v>3833525.8046097755</v>
      </c>
    </row>
    <row r="375" spans="2:8">
      <c r="B375" s="396">
        <f>IFERROR(IF(Loan_Not_Paid*Values_Entered,Payment_Number,""), "")</f>
        <v>358</v>
      </c>
      <c r="C375" s="395"/>
      <c r="D375" s="394">
        <f>IFERROR(IF(Loan_Not_Paid*Values_Entered,Beginning_Balance,""), "")</f>
        <v>3833525.8046097755</v>
      </c>
      <c r="E375" s="394">
        <f>IFERROR(IF(Loan_Not_Paid*Values_Entered,Monthly_Payment,""), "")</f>
        <v>1291710.1497487591</v>
      </c>
      <c r="F375" s="394">
        <f>IFERROR(IF(Loan_Not_Paid*Values_Entered,Principal,""), "")</f>
        <v>1270945.2183071503</v>
      </c>
      <c r="G375" s="394">
        <f>IFERROR(IF(Loan_Not_Paid*Values_Entered,Interest,""), "")</f>
        <v>20764.931441608729</v>
      </c>
      <c r="H375" s="394">
        <f>IFERROR(IF(Loan_Not_Paid*Values_Entered,Ending_Balance,""), "")</f>
        <v>2562580.5863025188</v>
      </c>
    </row>
    <row r="376" spans="2:8">
      <c r="B376" s="396">
        <f>IFERROR(IF(Loan_Not_Paid*Values_Entered,Payment_Number,""), "")</f>
        <v>359</v>
      </c>
      <c r="C376" s="395"/>
      <c r="D376" s="394">
        <f>IFERROR(IF(Loan_Not_Paid*Values_Entered,Beginning_Balance,""), "")</f>
        <v>2562580.5863025188</v>
      </c>
      <c r="E376" s="394">
        <f>IFERROR(IF(Loan_Not_Paid*Values_Entered,Monthly_Payment,""), "")</f>
        <v>1291710.1497487591</v>
      </c>
      <c r="F376" s="394">
        <f>IFERROR(IF(Loan_Not_Paid*Values_Entered,Principal,""), "")</f>
        <v>1277829.5049063142</v>
      </c>
      <c r="G376" s="394">
        <f>IFERROR(IF(Loan_Not_Paid*Values_Entered,Interest,""), "")</f>
        <v>13880.644842444995</v>
      </c>
      <c r="H376" s="394">
        <f>IFERROR(IF(Loan_Not_Paid*Values_Entered,Ending_Balance,""), "")</f>
        <v>1284751.0813963413</v>
      </c>
    </row>
    <row r="377" spans="2:8">
      <c r="B377" s="396">
        <f>IFERROR(IF(Loan_Not_Paid*Values_Entered,Payment_Number,""), "")</f>
        <v>360</v>
      </c>
      <c r="C377" s="395"/>
      <c r="D377" s="394">
        <f>IFERROR(IF(Loan_Not_Paid*Values_Entered,Beginning_Balance,""), "")</f>
        <v>1284751.0813963413</v>
      </c>
      <c r="E377" s="394">
        <f>IFERROR(IF(Loan_Not_Paid*Values_Entered,Monthly_Payment,""), "")</f>
        <v>1291710.1497487591</v>
      </c>
      <c r="F377" s="394">
        <f>IFERROR(IF(Loan_Not_Paid*Values_Entered,Principal,""), "")</f>
        <v>1284751.0813912232</v>
      </c>
      <c r="G377" s="394">
        <f>IFERROR(IF(Loan_Not_Paid*Values_Entered,Interest,""), "")</f>
        <v>6959.0683575357943</v>
      </c>
      <c r="H377" s="394">
        <f>IFERROR(IF(Loan_Not_Paid*Values_Entered,Ending_Balance,""), "")</f>
        <v>5.245208740234375E-6</v>
      </c>
    </row>
  </sheetData>
  <mergeCells count="9">
    <mergeCell ref="B9:D9"/>
    <mergeCell ref="B10:D10"/>
    <mergeCell ref="B11:D11"/>
    <mergeCell ref="B2:E2"/>
    <mergeCell ref="B3:D3"/>
    <mergeCell ref="B4:D4"/>
    <mergeCell ref="B5:D5"/>
    <mergeCell ref="B6:D6"/>
    <mergeCell ref="B8:D8"/>
  </mergeCells>
  <conditionalFormatting sqref="C18:G377">
    <cfRule type="expression" dxfId="15" priority="1" stopIfTrue="1">
      <formula>NOT(Loan_Not_Paid)</formula>
    </cfRule>
    <cfRule type="expression" dxfId="14" priority="2" stopIfTrue="1">
      <formula>IF(ROW(C18)=Last_Row,TRUE,FALSE)</formula>
    </cfRule>
  </conditionalFormatting>
  <conditionalFormatting sqref="B18:B377">
    <cfRule type="expression" dxfId="13" priority="3" stopIfTrue="1">
      <formula>NOT(Loan_Not_Paid)</formula>
    </cfRule>
    <cfRule type="expression" dxfId="12" priority="4" stopIfTrue="1">
      <formula>IF(ROW(B18)=Last_Row,TRUE,FALSE)</formula>
    </cfRule>
  </conditionalFormatting>
  <conditionalFormatting sqref="H18:H377">
    <cfRule type="expression" dxfId="11" priority="5" stopIfTrue="1">
      <formula>NOT(Loan_Not_Paid)</formula>
    </cfRule>
    <cfRule type="expression" dxfId="10" priority="6" stopIfTrue="1">
      <formula>IF(ROW(H18)=Last_Row,TRUE,FALSE)</formula>
    </cfRule>
  </conditionalFormatting>
  <dataValidations count="26">
    <dataValidation allowBlank="1" showInputMessage="1" showErrorMessage="1" prompt="Total cost of loan is automatically calculated in cell at right" sqref="B11:D14 B15 B16:D16" xr:uid="{690A7681-9503-4720-825A-89CEFFD5CF26}"/>
    <dataValidation allowBlank="1" showInputMessage="1" showErrorMessage="1" prompt="Total cost of loan is automatically calculated in this cell" sqref="E11:E14 E16" xr:uid="{A6E47821-7248-46E2-A2B0-8397DBFE8F72}"/>
    <dataValidation allowBlank="1" showInputMessage="1" showErrorMessage="1" prompt="Create a loan repayment schedule using this Loan calculator and amortization worksheet. Total interest and total payments are automatically calculated" sqref="A1" xr:uid="{5C43DFE0-A4F2-4FEA-B217-05974A2C582A}"/>
    <dataValidation allowBlank="1" showInputMessage="1" showErrorMessage="1" prompt="Title of this worksheet is in this cell. Enter Loan values in cells E3 through E6. Loan summary in cells E8 through E11 and Loan table are automatically updated" sqref="B1" xr:uid="{843ABEB8-5F99-4A5B-9FB8-C5D9B9A74592}"/>
    <dataValidation allowBlank="1" showInputMessage="1" showErrorMessage="1" prompt="Enter Loan amount in cell at right" sqref="B3:D3" xr:uid="{51E75838-87B4-42AA-8448-32331ECD46ED}"/>
    <dataValidation allowBlank="1" showInputMessage="1" showErrorMessage="1" prompt="Enter Loan amount in this cell" sqref="E3" xr:uid="{602597FC-A48E-4B4B-A0A5-F4C657365281}"/>
    <dataValidation allowBlank="1" showInputMessage="1" showErrorMessage="1" prompt="Enter Annual interest rate in cell at right" sqref="B4:D4" xr:uid="{4AA017E9-181F-4AD7-82FC-5FC398D9467C}"/>
    <dataValidation allowBlank="1" showInputMessage="1" showErrorMessage="1" prompt="Enter Loan period in years in cell at right" sqref="B5:D5" xr:uid="{AFE83881-1409-490C-A7B7-31ECBAB982F1}"/>
    <dataValidation allowBlank="1" showInputMessage="1" showErrorMessage="1" prompt="Enter Loan period in years in this cell" sqref="E5" xr:uid="{1549E274-DA69-44D0-BBA7-086FEF3F0FA6}"/>
    <dataValidation allowBlank="1" showInputMessage="1" showErrorMessage="1" prompt="Enter Start date of loan in cell at right" sqref="B6:D6" xr:uid="{4F8DC4D4-DB56-424C-A5FC-72940065B3E5}"/>
    <dataValidation allowBlank="1" showInputMessage="1" showErrorMessage="1" prompt="Enter Start date of loan in this cell" sqref="E6" xr:uid="{8DD9E3CC-0F32-41AB-AB75-C1F278CC1712}"/>
    <dataValidation allowBlank="1" showInputMessage="1" showErrorMessage="1" prompt="Monthly payment is automatically calculated in cell at right" sqref="B8:D8" xr:uid="{047EAA18-0F98-4577-AE2A-8A847BCDAE48}"/>
    <dataValidation allowBlank="1" showInputMessage="1" showErrorMessage="1" prompt="Monthly payment is automatically calculated in this cell" sqref="E8" xr:uid="{C80EDDA0-893B-4F6A-B0EC-E57552DE0E0B}"/>
    <dataValidation allowBlank="1" showInputMessage="1" showErrorMessage="1" prompt="Number of payments is automatically calculated in cell at right" sqref="B9:D9" xr:uid="{AAFA4CC0-E51C-45AF-A78A-DB1013B0C3C1}"/>
    <dataValidation allowBlank="1" showInputMessage="1" showErrorMessage="1" prompt="Number of payments is automatically calculated in this cell" sqref="E9" xr:uid="{50D93227-DC52-4840-95C0-08923D524252}"/>
    <dataValidation allowBlank="1" showInputMessage="1" showErrorMessage="1" prompt="Total interest is automatically calculated in cell at right" sqref="B10:D10" xr:uid="{84D83B20-1F42-436E-9E55-1025A6D81FA0}"/>
    <dataValidation allowBlank="1" showInputMessage="1" showErrorMessage="1" prompt="Total interest is automatically calculated in this cell" sqref="E10" xr:uid="{BFAD54EB-C69A-4DF4-84F8-8FD718487629}"/>
    <dataValidation allowBlank="1" showInputMessage="1" showErrorMessage="1" prompt="Enter values in cells E3 through E6 for each description in column B. Values in cells E8 through E11 are automatically calculated" sqref="B2" xr:uid="{C128EB2B-4908-4CE2-9463-A24F6C714611}"/>
    <dataValidation allowBlank="1" showInputMessage="1" showErrorMessage="1" prompt="Payment Number is automatically updated in this column under this heading" sqref="B17" xr:uid="{BA26A0E0-5524-4E4E-97C4-6B26088B946A}"/>
    <dataValidation allowBlank="1" showInputMessage="1" showErrorMessage="1" prompt="Payment Date is automatically updated in this column under this heading" sqref="C17" xr:uid="{A72CA4AA-C80B-4B69-AE98-22BB19FEA880}"/>
    <dataValidation allowBlank="1" showInputMessage="1" showErrorMessage="1" prompt="Beginning Balance is automatically calculated in this column under this heading" sqref="D17" xr:uid="{3EE2D25F-063B-480B-862C-B3D1BB730D4B}"/>
    <dataValidation allowBlank="1" showInputMessage="1" showErrorMessage="1" prompt="Payment amount is automatically calculated in this column under this heading" sqref="E17" xr:uid="{9547A27C-C906-4B48-94FA-A9AE8BBBC9D4}"/>
    <dataValidation allowBlank="1" showInputMessage="1" showErrorMessage="1" prompt="Principal amount is automatically updated in this column under this heading" sqref="F17" xr:uid="{D1CDF4EA-DA54-48C4-9391-99D87877AE27}"/>
    <dataValidation allowBlank="1" showInputMessage="1" showErrorMessage="1" prompt="Interest amount is automatically updated in this column under this heading" sqref="G17" xr:uid="{F243E5AA-0D1E-4C51-9947-36D9E46A3B2A}"/>
    <dataValidation allowBlank="1" showInputMessage="1" showErrorMessage="1" prompt="Ending Balance is automatically updated in this column under this heading" sqref="H17" xr:uid="{5561CD12-C1E9-4D08-AF6B-4A95FC8124F3}"/>
    <dataValidation allowBlank="1" showInputMessage="1" showErrorMessage="1" prompt="Enter Annual interest rate in this cell" sqref="E4" xr:uid="{54FB391D-4C1B-429D-A86C-02474E80C527}"/>
  </dataValidations>
  <printOptions horizontalCentered="1"/>
  <pageMargins left="0.5" right="0.5" top="1" bottom="1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B9580-91D7-471A-A745-90604B41D262}">
  <sheetPr>
    <tabColor theme="3"/>
    <pageSetUpPr fitToPage="1"/>
  </sheetPr>
  <dimension ref="B1:H377"/>
  <sheetViews>
    <sheetView showGridLines="0" topLeftCell="A3" zoomScale="70" zoomScaleNormal="70" workbookViewId="0">
      <selection activeCell="G15" sqref="G15"/>
    </sheetView>
    <sheetView workbookViewId="1"/>
  </sheetViews>
  <sheetFormatPr defaultColWidth="8.734375" defaultRowHeight="14.4"/>
  <cols>
    <col min="1" max="1" width="2.7890625" style="393" customWidth="1"/>
    <col min="2" max="2" width="6.26171875" style="393" customWidth="1"/>
    <col min="3" max="3" width="14.7890625" style="393" customWidth="1"/>
    <col min="4" max="4" width="18.1015625" style="393" customWidth="1"/>
    <col min="5" max="5" width="18" style="393" customWidth="1"/>
    <col min="6" max="7" width="14.7890625" style="393" customWidth="1"/>
    <col min="8" max="8" width="17.47265625" style="393" customWidth="1"/>
    <col min="9" max="9" width="2.7890625" style="393" customWidth="1"/>
    <col min="10" max="16384" width="8.734375" style="393"/>
  </cols>
  <sheetData>
    <row r="1" spans="2:8" ht="30" customHeight="1">
      <c r="B1" s="403" t="s">
        <v>446</v>
      </c>
      <c r="C1" s="402"/>
      <c r="D1" s="402"/>
      <c r="E1" s="402"/>
      <c r="F1" s="402"/>
      <c r="G1" s="402"/>
      <c r="H1" s="402"/>
    </row>
    <row r="2" spans="2:8" ht="30" customHeight="1">
      <c r="B2" s="633" t="s">
        <v>445</v>
      </c>
      <c r="C2" s="633"/>
      <c r="D2" s="633"/>
      <c r="E2" s="633"/>
    </row>
    <row r="3" spans="2:8">
      <c r="B3" s="636" t="s">
        <v>413</v>
      </c>
      <c r="C3" s="636"/>
      <c r="D3" s="637"/>
      <c r="E3" s="405">
        <f>combined!Q135</f>
        <v>201011558.88853931</v>
      </c>
    </row>
    <row r="4" spans="2:8">
      <c r="B4" s="634" t="s">
        <v>444</v>
      </c>
      <c r="C4" s="634"/>
      <c r="D4" s="638"/>
      <c r="E4" s="406">
        <f>permanentinterestrate</f>
        <v>6.5000000000000002E-2</v>
      </c>
    </row>
    <row r="5" spans="2:8">
      <c r="B5" s="634" t="s">
        <v>443</v>
      </c>
      <c r="C5" s="634"/>
      <c r="D5" s="638"/>
      <c r="E5" s="407">
        <f>amortizationschedule</f>
        <v>30</v>
      </c>
    </row>
    <row r="6" spans="2:8">
      <c r="B6" s="634" t="s">
        <v>442</v>
      </c>
      <c r="C6" s="634"/>
      <c r="D6" s="638"/>
      <c r="E6" s="401">
        <v>43831</v>
      </c>
      <c r="F6" s="401"/>
    </row>
    <row r="7" spans="2:8">
      <c r="B7" s="400"/>
      <c r="C7" s="400"/>
      <c r="D7" s="400"/>
    </row>
    <row r="8" spans="2:8">
      <c r="B8" s="634" t="s">
        <v>441</v>
      </c>
      <c r="C8" s="634"/>
      <c r="D8" s="635"/>
      <c r="E8" s="404">
        <f>IFERROR(IF(Values_Entered,Monthly_Payment,""), "")</f>
        <v>1270529.7872591855</v>
      </c>
    </row>
    <row r="9" spans="2:8">
      <c r="B9" s="634" t="s">
        <v>440</v>
      </c>
      <c r="C9" s="634"/>
      <c r="D9" s="635"/>
      <c r="E9" s="399">
        <f>IFERROR(IF(Values_Entered,Loan_Years*12,""), "")</f>
        <v>360</v>
      </c>
    </row>
    <row r="10" spans="2:8">
      <c r="B10" s="634" t="s">
        <v>439</v>
      </c>
      <c r="C10" s="634"/>
      <c r="D10" s="635"/>
      <c r="E10" s="398">
        <f>IFERROR(IF(Values_Entered,Total_Cost-Loan_Amount,""), "")</f>
        <v>256379164.52476746</v>
      </c>
    </row>
    <row r="11" spans="2:8">
      <c r="B11" s="634" t="s">
        <v>438</v>
      </c>
      <c r="C11" s="634"/>
      <c r="D11" s="635"/>
      <c r="E11" s="404">
        <f>IFERROR(IF(Values_Entered,Monthly_Payment*Number_of_Payments,""), "")</f>
        <v>457390723.41330677</v>
      </c>
    </row>
    <row r="12" spans="2:8">
      <c r="B12" s="408"/>
      <c r="C12" s="408"/>
      <c r="D12" s="409"/>
      <c r="E12" s="410"/>
    </row>
    <row r="13" spans="2:8">
      <c r="B13" s="408"/>
      <c r="C13" s="412" t="s">
        <v>447</v>
      </c>
      <c r="D13" s="409"/>
      <c r="E13" s="418">
        <f>Phase3open</f>
        <v>7</v>
      </c>
    </row>
    <row r="14" spans="2:8">
      <c r="B14" s="408"/>
      <c r="C14" s="412" t="s">
        <v>187</v>
      </c>
      <c r="D14" s="409"/>
      <c r="E14" s="418">
        <f>dispositionyear</f>
        <v>10</v>
      </c>
      <c r="F14" s="411"/>
    </row>
    <row r="15" spans="2:8">
      <c r="B15" s="408"/>
      <c r="C15" s="413" t="s">
        <v>449</v>
      </c>
      <c r="E15" s="419">
        <f>(E14-E13)*12</f>
        <v>36</v>
      </c>
    </row>
    <row r="16" spans="2:8">
      <c r="B16" s="408"/>
      <c r="C16" s="412" t="s">
        <v>448</v>
      </c>
      <c r="D16" s="409"/>
      <c r="E16" s="410">
        <f>VLOOKUP(E15,Loan34[#All],7,TRUE)</f>
        <v>193809800.98940188</v>
      </c>
    </row>
    <row r="17" spans="2:8" ht="38.5" customHeight="1">
      <c r="B17" s="397" t="s">
        <v>437</v>
      </c>
      <c r="C17" s="397" t="s">
        <v>284</v>
      </c>
      <c r="D17" s="397" t="s">
        <v>436</v>
      </c>
      <c r="E17" s="397" t="s">
        <v>435</v>
      </c>
      <c r="F17" s="397" t="s">
        <v>434</v>
      </c>
      <c r="G17" s="397" t="s">
        <v>433</v>
      </c>
      <c r="H17" s="397" t="s">
        <v>432</v>
      </c>
    </row>
    <row r="18" spans="2:8">
      <c r="B18" s="396">
        <f>IFERROR(IF(Loan_Not_Paid*Values_Entered,Payment_Number,""), "")</f>
        <v>1</v>
      </c>
      <c r="C18" s="395"/>
      <c r="D18" s="394">
        <f>IFERROR(IF(Loan_Not_Paid*Values_Entered,Beginning_Balance,""), "")</f>
        <v>201011558.88853931</v>
      </c>
      <c r="E18" s="394">
        <f>IFERROR(IF(Loan_Not_Paid*Values_Entered,Monthly_Payment,""), "")</f>
        <v>1270529.7872591855</v>
      </c>
      <c r="F18" s="394">
        <f>IFERROR(IF(Loan_Not_Paid*Values_Entered,Principal,""), "")</f>
        <v>181717.17661293063</v>
      </c>
      <c r="G18" s="394">
        <f>IFERROR(IF(Loan_Not_Paid*Values_Entered,Interest,""), "")</f>
        <v>1088812.6106462546</v>
      </c>
      <c r="H18" s="394">
        <f>IFERROR(IF(Loan_Not_Paid*Values_Entered,Ending_Balance,""), "")</f>
        <v>200829841.7119264</v>
      </c>
    </row>
    <row r="19" spans="2:8">
      <c r="B19" s="396">
        <f>IFERROR(IF(Loan_Not_Paid*Values_Entered,Payment_Number,""), "")</f>
        <v>2</v>
      </c>
      <c r="C19" s="395"/>
      <c r="D19" s="394">
        <f>IFERROR(IF(Loan_Not_Paid*Values_Entered,Beginning_Balance,""), "")</f>
        <v>200829841.7119264</v>
      </c>
      <c r="E19" s="394">
        <f>IFERROR(IF(Loan_Not_Paid*Values_Entered,Monthly_Payment,""), "")</f>
        <v>1270529.7872591855</v>
      </c>
      <c r="F19" s="394">
        <f>IFERROR(IF(Loan_Not_Paid*Values_Entered,Principal,""), "")</f>
        <v>182701.47798625063</v>
      </c>
      <c r="G19" s="394">
        <f>IFERROR(IF(Loan_Not_Paid*Values_Entered,Interest,""), "")</f>
        <v>1087828.3092729349</v>
      </c>
      <c r="H19" s="394">
        <f>IFERROR(IF(Loan_Not_Paid*Values_Entered,Ending_Balance,""), "")</f>
        <v>200647140.23394012</v>
      </c>
    </row>
    <row r="20" spans="2:8">
      <c r="B20" s="396">
        <f>IFERROR(IF(Loan_Not_Paid*Values_Entered,Payment_Number,""), "")</f>
        <v>3</v>
      </c>
      <c r="C20" s="395"/>
      <c r="D20" s="394">
        <f>IFERROR(IF(Loan_Not_Paid*Values_Entered,Beginning_Balance,""), "")</f>
        <v>200647140.23394012</v>
      </c>
      <c r="E20" s="394">
        <f>IFERROR(IF(Loan_Not_Paid*Values_Entered,Monthly_Payment,""), "")</f>
        <v>1270529.7872591855</v>
      </c>
      <c r="F20" s="394">
        <f>IFERROR(IF(Loan_Not_Paid*Values_Entered,Principal,""), "")</f>
        <v>183691.11099200955</v>
      </c>
      <c r="G20" s="394">
        <f>IFERROR(IF(Loan_Not_Paid*Values_Entered,Interest,""), "")</f>
        <v>1086838.6762671759</v>
      </c>
      <c r="H20" s="394">
        <f>IFERROR(IF(Loan_Not_Paid*Values_Entered,Ending_Balance,""), "")</f>
        <v>200463449.12294814</v>
      </c>
    </row>
    <row r="21" spans="2:8">
      <c r="B21" s="396">
        <f>IFERROR(IF(Loan_Not_Paid*Values_Entered,Payment_Number,""), "")</f>
        <v>4</v>
      </c>
      <c r="C21" s="395"/>
      <c r="D21" s="394">
        <f>IFERROR(IF(Loan_Not_Paid*Values_Entered,Beginning_Balance,""), "")</f>
        <v>200463449.12294814</v>
      </c>
      <c r="E21" s="394">
        <f>IFERROR(IF(Loan_Not_Paid*Values_Entered,Monthly_Payment,""), "")</f>
        <v>1270529.7872591855</v>
      </c>
      <c r="F21" s="394">
        <f>IFERROR(IF(Loan_Not_Paid*Values_Entered,Principal,""), "")</f>
        <v>184686.10450988292</v>
      </c>
      <c r="G21" s="394">
        <f>IFERROR(IF(Loan_Not_Paid*Values_Entered,Interest,""), "")</f>
        <v>1085843.6827493024</v>
      </c>
      <c r="H21" s="394">
        <f>IFERROR(IF(Loan_Not_Paid*Values_Entered,Ending_Balance,""), "")</f>
        <v>200278763.01843825</v>
      </c>
    </row>
    <row r="22" spans="2:8">
      <c r="B22" s="396">
        <f>IFERROR(IF(Loan_Not_Paid*Values_Entered,Payment_Number,""), "")</f>
        <v>5</v>
      </c>
      <c r="C22" s="395"/>
      <c r="D22" s="394">
        <f>IFERROR(IF(Loan_Not_Paid*Values_Entered,Beginning_Balance,""), "")</f>
        <v>200278763.01843825</v>
      </c>
      <c r="E22" s="394">
        <f>IFERROR(IF(Loan_Not_Paid*Values_Entered,Monthly_Payment,""), "")</f>
        <v>1270529.7872591855</v>
      </c>
      <c r="F22" s="394">
        <f>IFERROR(IF(Loan_Not_Paid*Values_Entered,Principal,""), "")</f>
        <v>185686.48757597813</v>
      </c>
      <c r="G22" s="394">
        <f>IFERROR(IF(Loan_Not_Paid*Values_Entered,Interest,""), "")</f>
        <v>1084843.2996832074</v>
      </c>
      <c r="H22" s="394">
        <f>IFERROR(IF(Loan_Not_Paid*Values_Entered,Ending_Balance,""), "")</f>
        <v>200093076.53086227</v>
      </c>
    </row>
    <row r="23" spans="2:8">
      <c r="B23" s="396">
        <f>IFERROR(IF(Loan_Not_Paid*Values_Entered,Payment_Number,""), "")</f>
        <v>6</v>
      </c>
      <c r="C23" s="395"/>
      <c r="D23" s="394">
        <f>IFERROR(IF(Loan_Not_Paid*Values_Entered,Beginning_Balance,""), "")</f>
        <v>200093076.53086227</v>
      </c>
      <c r="E23" s="394">
        <f>IFERROR(IF(Loan_Not_Paid*Values_Entered,Monthly_Payment,""), "")</f>
        <v>1270529.7872591855</v>
      </c>
      <c r="F23" s="394">
        <f>IFERROR(IF(Loan_Not_Paid*Values_Entered,Principal,""), "")</f>
        <v>186692.28938368129</v>
      </c>
      <c r="G23" s="394">
        <f>IFERROR(IF(Loan_Not_Paid*Values_Entered,Interest,""), "")</f>
        <v>1083837.4978755042</v>
      </c>
      <c r="H23" s="394">
        <f>IFERROR(IF(Loan_Not_Paid*Values_Entered,Ending_Balance,""), "")</f>
        <v>199906384.24147859</v>
      </c>
    </row>
    <row r="24" spans="2:8">
      <c r="B24" s="396">
        <f>IFERROR(IF(Loan_Not_Paid*Values_Entered,Payment_Number,""), "")</f>
        <v>7</v>
      </c>
      <c r="C24" s="395"/>
      <c r="D24" s="394">
        <f>IFERROR(IF(Loan_Not_Paid*Values_Entered,Beginning_Balance,""), "")</f>
        <v>199906384.24147859</v>
      </c>
      <c r="E24" s="394">
        <f>IFERROR(IF(Loan_Not_Paid*Values_Entered,Monthly_Payment,""), "")</f>
        <v>1270529.7872591855</v>
      </c>
      <c r="F24" s="394">
        <f>IFERROR(IF(Loan_Not_Paid*Values_Entered,Principal,""), "")</f>
        <v>187703.53928450961</v>
      </c>
      <c r="G24" s="394">
        <f>IFERROR(IF(Loan_Not_Paid*Values_Entered,Interest,""), "")</f>
        <v>1082826.2479746758</v>
      </c>
      <c r="H24" s="394">
        <f>IFERROR(IF(Loan_Not_Paid*Values_Entered,Ending_Balance,""), "")</f>
        <v>199718680.70219409</v>
      </c>
    </row>
    <row r="25" spans="2:8">
      <c r="B25" s="396">
        <f>IFERROR(IF(Loan_Not_Paid*Values_Entered,Payment_Number,""), "")</f>
        <v>8</v>
      </c>
      <c r="C25" s="395"/>
      <c r="D25" s="394">
        <f>IFERROR(IF(Loan_Not_Paid*Values_Entered,Beginning_Balance,""), "")</f>
        <v>199718680.70219409</v>
      </c>
      <c r="E25" s="394">
        <f>IFERROR(IF(Loan_Not_Paid*Values_Entered,Monthly_Payment,""), "")</f>
        <v>1270529.7872591855</v>
      </c>
      <c r="F25" s="394">
        <f>IFERROR(IF(Loan_Not_Paid*Values_Entered,Principal,""), "")</f>
        <v>188720.26678896736</v>
      </c>
      <c r="G25" s="394">
        <f>IFERROR(IF(Loan_Not_Paid*Values_Entered,Interest,""), "")</f>
        <v>1081809.520470218</v>
      </c>
      <c r="H25" s="394">
        <f>IFERROR(IF(Loan_Not_Paid*Values_Entered,Ending_Balance,""), "")</f>
        <v>199529960.43540511</v>
      </c>
    </row>
    <row r="26" spans="2:8">
      <c r="B26" s="396">
        <f>IFERROR(IF(Loan_Not_Paid*Values_Entered,Payment_Number,""), "")</f>
        <v>9</v>
      </c>
      <c r="C26" s="395"/>
      <c r="D26" s="394">
        <f>IFERROR(IF(Loan_Not_Paid*Values_Entered,Beginning_Balance,""), "")</f>
        <v>199529960.43540511</v>
      </c>
      <c r="E26" s="394">
        <f>IFERROR(IF(Loan_Not_Paid*Values_Entered,Monthly_Payment,""), "")</f>
        <v>1270529.7872591855</v>
      </c>
      <c r="F26" s="394">
        <f>IFERROR(IF(Loan_Not_Paid*Values_Entered,Principal,""), "")</f>
        <v>189742.5015674076</v>
      </c>
      <c r="G26" s="394">
        <f>IFERROR(IF(Loan_Not_Paid*Values_Entered,Interest,""), "")</f>
        <v>1080787.2856917779</v>
      </c>
      <c r="H26" s="394">
        <f>IFERROR(IF(Loan_Not_Paid*Values_Entered,Ending_Balance,""), "")</f>
        <v>199340217.93383771</v>
      </c>
    </row>
    <row r="27" spans="2:8">
      <c r="B27" s="396">
        <f>IFERROR(IF(Loan_Not_Paid*Values_Entered,Payment_Number,""), "")</f>
        <v>10</v>
      </c>
      <c r="C27" s="395"/>
      <c r="D27" s="394">
        <f>IFERROR(IF(Loan_Not_Paid*Values_Entered,Beginning_Balance,""), "")</f>
        <v>199340217.93383771</v>
      </c>
      <c r="E27" s="394">
        <f>IFERROR(IF(Loan_Not_Paid*Values_Entered,Monthly_Payment,""), "")</f>
        <v>1270529.7872591855</v>
      </c>
      <c r="F27" s="394">
        <f>IFERROR(IF(Loan_Not_Paid*Values_Entered,Principal,""), "")</f>
        <v>190770.27345089774</v>
      </c>
      <c r="G27" s="394">
        <f>IFERROR(IF(Loan_Not_Paid*Values_Entered,Interest,""), "")</f>
        <v>1079759.5138082877</v>
      </c>
      <c r="H27" s="394">
        <f>IFERROR(IF(Loan_Not_Paid*Values_Entered,Ending_Balance,""), "")</f>
        <v>199149447.6603868</v>
      </c>
    </row>
    <row r="28" spans="2:8">
      <c r="B28" s="396">
        <f>IFERROR(IF(Loan_Not_Paid*Values_Entered,Payment_Number,""), "")</f>
        <v>11</v>
      </c>
      <c r="C28" s="395"/>
      <c r="D28" s="394">
        <f>IFERROR(IF(Loan_Not_Paid*Values_Entered,Beginning_Balance,""), "")</f>
        <v>199149447.6603868</v>
      </c>
      <c r="E28" s="394">
        <f>IFERROR(IF(Loan_Not_Paid*Values_Entered,Monthly_Payment,""), "")</f>
        <v>1270529.7872591855</v>
      </c>
      <c r="F28" s="394">
        <f>IFERROR(IF(Loan_Not_Paid*Values_Entered,Principal,""), "")</f>
        <v>191803.61243209004</v>
      </c>
      <c r="G28" s="394">
        <f>IFERROR(IF(Loan_Not_Paid*Values_Entered,Interest,""), "")</f>
        <v>1078726.1748270954</v>
      </c>
      <c r="H28" s="394">
        <f>IFERROR(IF(Loan_Not_Paid*Values_Entered,Ending_Balance,""), "")</f>
        <v>198957644.04795474</v>
      </c>
    </row>
    <row r="29" spans="2:8">
      <c r="B29" s="396">
        <f>IFERROR(IF(Loan_Not_Paid*Values_Entered,Payment_Number,""), "")</f>
        <v>12</v>
      </c>
      <c r="C29" s="395"/>
      <c r="D29" s="394">
        <f>IFERROR(IF(Loan_Not_Paid*Values_Entered,Beginning_Balance,""), "")</f>
        <v>198957644.04795474</v>
      </c>
      <c r="E29" s="394">
        <f>IFERROR(IF(Loan_Not_Paid*Values_Entered,Monthly_Payment,""), "")</f>
        <v>1270529.7872591855</v>
      </c>
      <c r="F29" s="394">
        <f>IFERROR(IF(Loan_Not_Paid*Values_Entered,Principal,""), "")</f>
        <v>192842.54866609722</v>
      </c>
      <c r="G29" s="394">
        <f>IFERROR(IF(Loan_Not_Paid*Values_Entered,Interest,""), "")</f>
        <v>1077687.2385930882</v>
      </c>
      <c r="H29" s="394">
        <f>IFERROR(IF(Loan_Not_Paid*Values_Entered,Ending_Balance,""), "")</f>
        <v>198764801.49928865</v>
      </c>
    </row>
    <row r="30" spans="2:8">
      <c r="B30" s="396">
        <f>IFERROR(IF(Loan_Not_Paid*Values_Entered,Payment_Number,""), "")</f>
        <v>13</v>
      </c>
      <c r="C30" s="395"/>
      <c r="D30" s="394">
        <f>IFERROR(IF(Loan_Not_Paid*Values_Entered,Beginning_Balance,""), "")</f>
        <v>198764801.49928865</v>
      </c>
      <c r="E30" s="394">
        <f>IFERROR(IF(Loan_Not_Paid*Values_Entered,Monthly_Payment,""), "")</f>
        <v>1270529.7872591855</v>
      </c>
      <c r="F30" s="394">
        <f>IFERROR(IF(Loan_Not_Paid*Values_Entered,Principal,""), "")</f>
        <v>193887.11247137195</v>
      </c>
      <c r="G30" s="394">
        <f>IFERROR(IF(Loan_Not_Paid*Values_Entered,Interest,""), "")</f>
        <v>1076642.6747878133</v>
      </c>
      <c r="H30" s="394">
        <f>IFERROR(IF(Loan_Not_Paid*Values_Entered,Ending_Balance,""), "")</f>
        <v>198570914.38681728</v>
      </c>
    </row>
    <row r="31" spans="2:8">
      <c r="B31" s="396">
        <f>IFERROR(IF(Loan_Not_Paid*Values_Entered,Payment_Number,""), "")</f>
        <v>14</v>
      </c>
      <c r="C31" s="395"/>
      <c r="D31" s="394">
        <f>IFERROR(IF(Loan_Not_Paid*Values_Entered,Beginning_Balance,""), "")</f>
        <v>198570914.38681728</v>
      </c>
      <c r="E31" s="394">
        <f>IFERROR(IF(Loan_Not_Paid*Values_Entered,Monthly_Payment,""), "")</f>
        <v>1270529.7872591855</v>
      </c>
      <c r="F31" s="394">
        <f>IFERROR(IF(Loan_Not_Paid*Values_Entered,Principal,""), "")</f>
        <v>194937.3343305919</v>
      </c>
      <c r="G31" s="394">
        <f>IFERROR(IF(Loan_Not_Paid*Values_Entered,Interest,""), "")</f>
        <v>1075592.4529285936</v>
      </c>
      <c r="H31" s="394">
        <f>IFERROR(IF(Loan_Not_Paid*Values_Entered,Ending_Balance,""), "")</f>
        <v>198375977.05248669</v>
      </c>
    </row>
    <row r="32" spans="2:8">
      <c r="B32" s="396">
        <f>IFERROR(IF(Loan_Not_Paid*Values_Entered,Payment_Number,""), "")</f>
        <v>15</v>
      </c>
      <c r="C32" s="395"/>
      <c r="D32" s="394">
        <f>IFERROR(IF(Loan_Not_Paid*Values_Entered,Beginning_Balance,""), "")</f>
        <v>198375977.05248669</v>
      </c>
      <c r="E32" s="394">
        <f>IFERROR(IF(Loan_Not_Paid*Values_Entered,Monthly_Payment,""), "")</f>
        <v>1270529.7872591855</v>
      </c>
      <c r="F32" s="394">
        <f>IFERROR(IF(Loan_Not_Paid*Values_Entered,Principal,""), "")</f>
        <v>195993.24489154923</v>
      </c>
      <c r="G32" s="394">
        <f>IFERROR(IF(Loan_Not_Paid*Values_Entered,Interest,""), "")</f>
        <v>1074536.542367636</v>
      </c>
      <c r="H32" s="394">
        <f>IFERROR(IF(Loan_Not_Paid*Values_Entered,Ending_Balance,""), "")</f>
        <v>198179983.80759513</v>
      </c>
    </row>
    <row r="33" spans="2:8">
      <c r="B33" s="396">
        <f>IFERROR(IF(Loan_Not_Paid*Values_Entered,Payment_Number,""), "")</f>
        <v>16</v>
      </c>
      <c r="C33" s="395"/>
      <c r="D33" s="394">
        <f>IFERROR(IF(Loan_Not_Paid*Values_Entered,Beginning_Balance,""), "")</f>
        <v>198179983.80759513</v>
      </c>
      <c r="E33" s="394">
        <f>IFERROR(IF(Loan_Not_Paid*Values_Entered,Monthly_Payment,""), "")</f>
        <v>1270529.7872591855</v>
      </c>
      <c r="F33" s="394">
        <f>IFERROR(IF(Loan_Not_Paid*Values_Entered,Principal,""), "")</f>
        <v>197054.87496804513</v>
      </c>
      <c r="G33" s="394">
        <f>IFERROR(IF(Loan_Not_Paid*Values_Entered,Interest,""), "")</f>
        <v>1073474.9122911403</v>
      </c>
      <c r="H33" s="394">
        <f>IFERROR(IF(Loan_Not_Paid*Values_Entered,Ending_Balance,""), "")</f>
        <v>197982928.93262708</v>
      </c>
    </row>
    <row r="34" spans="2:8">
      <c r="B34" s="396">
        <f>IFERROR(IF(Loan_Not_Paid*Values_Entered,Payment_Number,""), "")</f>
        <v>17</v>
      </c>
      <c r="C34" s="395"/>
      <c r="D34" s="394">
        <f>IFERROR(IF(Loan_Not_Paid*Values_Entered,Beginning_Balance,""), "")</f>
        <v>197982928.93262708</v>
      </c>
      <c r="E34" s="394">
        <f>IFERROR(IF(Loan_Not_Paid*Values_Entered,Monthly_Payment,""), "")</f>
        <v>1270529.7872591855</v>
      </c>
      <c r="F34" s="394">
        <f>IFERROR(IF(Loan_Not_Paid*Values_Entered,Principal,""), "")</f>
        <v>198122.2555407887</v>
      </c>
      <c r="G34" s="394">
        <f>IFERROR(IF(Loan_Not_Paid*Values_Entered,Interest,""), "")</f>
        <v>1072407.5317183968</v>
      </c>
      <c r="H34" s="394">
        <f>IFERROR(IF(Loan_Not_Paid*Values_Entered,Ending_Balance,""), "")</f>
        <v>197784806.67708629</v>
      </c>
    </row>
    <row r="35" spans="2:8">
      <c r="B35" s="396">
        <f>IFERROR(IF(Loan_Not_Paid*Values_Entered,Payment_Number,""), "")</f>
        <v>18</v>
      </c>
      <c r="C35" s="395"/>
      <c r="D35" s="394">
        <f>IFERROR(IF(Loan_Not_Paid*Values_Entered,Beginning_Balance,""), "")</f>
        <v>197784806.67708629</v>
      </c>
      <c r="E35" s="394">
        <f>IFERROR(IF(Loan_Not_Paid*Values_Entered,Monthly_Payment,""), "")</f>
        <v>1270529.7872591855</v>
      </c>
      <c r="F35" s="394">
        <f>IFERROR(IF(Loan_Not_Paid*Values_Entered,Principal,""), "")</f>
        <v>199195.41775830134</v>
      </c>
      <c r="G35" s="394">
        <f>IFERROR(IF(Loan_Not_Paid*Values_Entered,Interest,""), "")</f>
        <v>1071334.3695008841</v>
      </c>
      <c r="H35" s="394">
        <f>IFERROR(IF(Loan_Not_Paid*Values_Entered,Ending_Balance,""), "")</f>
        <v>197585611.25932801</v>
      </c>
    </row>
    <row r="36" spans="2:8">
      <c r="B36" s="396">
        <f>IFERROR(IF(Loan_Not_Paid*Values_Entered,Payment_Number,""), "")</f>
        <v>19</v>
      </c>
      <c r="C36" s="395"/>
      <c r="D36" s="394">
        <f>IFERROR(IF(Loan_Not_Paid*Values_Entered,Beginning_Balance,""), "")</f>
        <v>197585611.25932801</v>
      </c>
      <c r="E36" s="394">
        <f>IFERROR(IF(Loan_Not_Paid*Values_Entered,Monthly_Payment,""), "")</f>
        <v>1270529.7872591855</v>
      </c>
      <c r="F36" s="394">
        <f>IFERROR(IF(Loan_Not_Paid*Values_Entered,Principal,""), "")</f>
        <v>200274.39293782547</v>
      </c>
      <c r="G36" s="394">
        <f>IFERROR(IF(Loan_Not_Paid*Values_Entered,Interest,""), "")</f>
        <v>1070255.3943213602</v>
      </c>
      <c r="H36" s="394">
        <f>IFERROR(IF(Loan_Not_Paid*Values_Entered,Ending_Balance,""), "")</f>
        <v>197385336.86639017</v>
      </c>
    </row>
    <row r="37" spans="2:8">
      <c r="B37" s="396">
        <f>IFERROR(IF(Loan_Not_Paid*Values_Entered,Payment_Number,""), "")</f>
        <v>20</v>
      </c>
      <c r="C37" s="395"/>
      <c r="D37" s="394">
        <f>IFERROR(IF(Loan_Not_Paid*Values_Entered,Beginning_Balance,""), "")</f>
        <v>197385336.86639017</v>
      </c>
      <c r="E37" s="394">
        <f>IFERROR(IF(Loan_Not_Paid*Values_Entered,Monthly_Payment,""), "")</f>
        <v>1270529.7872591855</v>
      </c>
      <c r="F37" s="394">
        <f>IFERROR(IF(Loan_Not_Paid*Values_Entered,Principal,""), "")</f>
        <v>201359.21256623868</v>
      </c>
      <c r="G37" s="394">
        <f>IFERROR(IF(Loan_Not_Paid*Values_Entered,Interest,""), "")</f>
        <v>1069170.5746929469</v>
      </c>
      <c r="H37" s="394">
        <f>IFERROR(IF(Loan_Not_Paid*Values_Entered,Ending_Balance,""), "")</f>
        <v>197183977.65382391</v>
      </c>
    </row>
    <row r="38" spans="2:8">
      <c r="B38" s="396">
        <f>IFERROR(IF(Loan_Not_Paid*Values_Entered,Payment_Number,""), "")</f>
        <v>21</v>
      </c>
      <c r="C38" s="395"/>
      <c r="D38" s="394">
        <f>IFERROR(IF(Loan_Not_Paid*Values_Entered,Beginning_Balance,""), "")</f>
        <v>197183977.65382391</v>
      </c>
      <c r="E38" s="394">
        <f>IFERROR(IF(Loan_Not_Paid*Values_Entered,Monthly_Payment,""), "")</f>
        <v>1270529.7872591855</v>
      </c>
      <c r="F38" s="394">
        <f>IFERROR(IF(Loan_Not_Paid*Values_Entered,Principal,""), "")</f>
        <v>202449.90830097246</v>
      </c>
      <c r="G38" s="394">
        <f>IFERROR(IF(Loan_Not_Paid*Values_Entered,Interest,""), "")</f>
        <v>1068079.8789582131</v>
      </c>
      <c r="H38" s="394">
        <f>IFERROR(IF(Loan_Not_Paid*Values_Entered,Ending_Balance,""), "")</f>
        <v>196981527.74552295</v>
      </c>
    </row>
    <row r="39" spans="2:8">
      <c r="B39" s="396">
        <f>IFERROR(IF(Loan_Not_Paid*Values_Entered,Payment_Number,""), "")</f>
        <v>22</v>
      </c>
      <c r="C39" s="395"/>
      <c r="D39" s="394">
        <f>IFERROR(IF(Loan_Not_Paid*Values_Entered,Beginning_Balance,""), "")</f>
        <v>196981527.74552295</v>
      </c>
      <c r="E39" s="394">
        <f>IFERROR(IF(Loan_Not_Paid*Values_Entered,Monthly_Payment,""), "")</f>
        <v>1270529.7872591855</v>
      </c>
      <c r="F39" s="394">
        <f>IFERROR(IF(Loan_Not_Paid*Values_Entered,Principal,""), "")</f>
        <v>203546.51197093606</v>
      </c>
      <c r="G39" s="394">
        <f>IFERROR(IF(Loan_Not_Paid*Values_Entered,Interest,""), "")</f>
        <v>1066983.2752882494</v>
      </c>
      <c r="H39" s="394">
        <f>IFERROR(IF(Loan_Not_Paid*Values_Entered,Ending_Balance,""), "")</f>
        <v>196777981.23355204</v>
      </c>
    </row>
    <row r="40" spans="2:8">
      <c r="B40" s="396">
        <f>IFERROR(IF(Loan_Not_Paid*Values_Entered,Payment_Number,""), "")</f>
        <v>23</v>
      </c>
      <c r="C40" s="395"/>
      <c r="D40" s="394">
        <f>IFERROR(IF(Loan_Not_Paid*Values_Entered,Beginning_Balance,""), "")</f>
        <v>196777981.23355204</v>
      </c>
      <c r="E40" s="394">
        <f>IFERROR(IF(Loan_Not_Paid*Values_Entered,Monthly_Payment,""), "")</f>
        <v>1270529.7872591855</v>
      </c>
      <c r="F40" s="394">
        <f>IFERROR(IF(Loan_Not_Paid*Values_Entered,Principal,""), "")</f>
        <v>204649.05557744528</v>
      </c>
      <c r="G40" s="394">
        <f>IFERROR(IF(Loan_Not_Paid*Values_Entered,Interest,""), "")</f>
        <v>1065880.7316817401</v>
      </c>
      <c r="H40" s="394">
        <f>IFERROR(IF(Loan_Not_Paid*Values_Entered,Ending_Balance,""), "")</f>
        <v>196573332.17797458</v>
      </c>
    </row>
    <row r="41" spans="2:8">
      <c r="B41" s="396">
        <f>IFERROR(IF(Loan_Not_Paid*Values_Entered,Payment_Number,""), "")</f>
        <v>24</v>
      </c>
      <c r="C41" s="395"/>
      <c r="D41" s="394">
        <f>IFERROR(IF(Loan_Not_Paid*Values_Entered,Beginning_Balance,""), "")</f>
        <v>196573332.17797458</v>
      </c>
      <c r="E41" s="394">
        <f>IFERROR(IF(Loan_Not_Paid*Values_Entered,Monthly_Payment,""), "")</f>
        <v>1270529.7872591855</v>
      </c>
      <c r="F41" s="394">
        <f>IFERROR(IF(Loan_Not_Paid*Values_Entered,Principal,""), "")</f>
        <v>205757.57129515649</v>
      </c>
      <c r="G41" s="394">
        <f>IFERROR(IF(Loan_Not_Paid*Values_Entered,Interest,""), "")</f>
        <v>1064772.2159640288</v>
      </c>
      <c r="H41" s="394">
        <f>IFERROR(IF(Loan_Not_Paid*Values_Entered,Ending_Balance,""), "")</f>
        <v>196367574.60667944</v>
      </c>
    </row>
    <row r="42" spans="2:8">
      <c r="B42" s="396">
        <f>IFERROR(IF(Loan_Not_Paid*Values_Entered,Payment_Number,""), "")</f>
        <v>25</v>
      </c>
      <c r="C42" s="395"/>
      <c r="D42" s="394">
        <f>IFERROR(IF(Loan_Not_Paid*Values_Entered,Beginning_Balance,""), "")</f>
        <v>196367574.60667944</v>
      </c>
      <c r="E42" s="394">
        <f>IFERROR(IF(Loan_Not_Paid*Values_Entered,Monthly_Payment,""), "")</f>
        <v>1270529.7872591855</v>
      </c>
      <c r="F42" s="394">
        <f>IFERROR(IF(Loan_Not_Paid*Values_Entered,Principal,""), "")</f>
        <v>206872.09147300525</v>
      </c>
      <c r="G42" s="394">
        <f>IFERROR(IF(Loan_Not_Paid*Values_Entered,Interest,""), "")</f>
        <v>1063657.6957861802</v>
      </c>
      <c r="H42" s="394">
        <f>IFERROR(IF(Loan_Not_Paid*Values_Entered,Ending_Balance,""), "")</f>
        <v>196160702.51520643</v>
      </c>
    </row>
    <row r="43" spans="2:8">
      <c r="B43" s="396">
        <f>IFERROR(IF(Loan_Not_Paid*Values_Entered,Payment_Number,""), "")</f>
        <v>26</v>
      </c>
      <c r="C43" s="395"/>
      <c r="D43" s="394">
        <f>IFERROR(IF(Loan_Not_Paid*Values_Entered,Beginning_Balance,""), "")</f>
        <v>196160702.51520643</v>
      </c>
      <c r="E43" s="394">
        <f>IFERROR(IF(Loan_Not_Paid*Values_Entered,Monthly_Payment,""), "")</f>
        <v>1270529.7872591855</v>
      </c>
      <c r="F43" s="394">
        <f>IFERROR(IF(Loan_Not_Paid*Values_Entered,Principal,""), "")</f>
        <v>207992.64863515066</v>
      </c>
      <c r="G43" s="394">
        <f>IFERROR(IF(Loan_Not_Paid*Values_Entered,Interest,""), "")</f>
        <v>1062537.1386240346</v>
      </c>
      <c r="H43" s="394">
        <f>IFERROR(IF(Loan_Not_Paid*Values_Entered,Ending_Balance,""), "")</f>
        <v>195952709.86657131</v>
      </c>
    </row>
    <row r="44" spans="2:8">
      <c r="B44" s="396">
        <f>IFERROR(IF(Loan_Not_Paid*Values_Entered,Payment_Number,""), "")</f>
        <v>27</v>
      </c>
      <c r="C44" s="395"/>
      <c r="D44" s="394">
        <f>IFERROR(IF(Loan_Not_Paid*Values_Entered,Beginning_Balance,""), "")</f>
        <v>195952709.86657131</v>
      </c>
      <c r="E44" s="394">
        <f>IFERROR(IF(Loan_Not_Paid*Values_Entered,Monthly_Payment,""), "")</f>
        <v>1270529.7872591855</v>
      </c>
      <c r="F44" s="394">
        <f>IFERROR(IF(Loan_Not_Paid*Values_Entered,Principal,""), "")</f>
        <v>209119.27548192441</v>
      </c>
      <c r="G44" s="394">
        <f>IFERROR(IF(Loan_Not_Paid*Values_Entered,Interest,""), "")</f>
        <v>1061410.511777261</v>
      </c>
      <c r="H44" s="394">
        <f>IFERROR(IF(Loan_Not_Paid*Values_Entered,Ending_Balance,""), "")</f>
        <v>195743590.59108937</v>
      </c>
    </row>
    <row r="45" spans="2:8">
      <c r="B45" s="396">
        <f>IFERROR(IF(Loan_Not_Paid*Values_Entered,Payment_Number,""), "")</f>
        <v>28</v>
      </c>
      <c r="C45" s="395"/>
      <c r="D45" s="394">
        <f>IFERROR(IF(Loan_Not_Paid*Values_Entered,Beginning_Balance,""), "")</f>
        <v>195743590.59108937</v>
      </c>
      <c r="E45" s="394">
        <f>IFERROR(IF(Loan_Not_Paid*Values_Entered,Monthly_Payment,""), "")</f>
        <v>1270529.7872591855</v>
      </c>
      <c r="F45" s="394">
        <f>IFERROR(IF(Loan_Not_Paid*Values_Entered,Principal,""), "")</f>
        <v>210252.00489078485</v>
      </c>
      <c r="G45" s="394">
        <f>IFERROR(IF(Loan_Not_Paid*Values_Entered,Interest,""), "")</f>
        <v>1060277.7823684006</v>
      </c>
      <c r="H45" s="394">
        <f>IFERROR(IF(Loan_Not_Paid*Values_Entered,Ending_Balance,""), "")</f>
        <v>195533338.5861986</v>
      </c>
    </row>
    <row r="46" spans="2:8">
      <c r="B46" s="396">
        <f>IFERROR(IF(Loan_Not_Paid*Values_Entered,Payment_Number,""), "")</f>
        <v>29</v>
      </c>
      <c r="C46" s="395"/>
      <c r="D46" s="394">
        <f>IFERROR(IF(Loan_Not_Paid*Values_Entered,Beginning_Balance,""), "")</f>
        <v>195533338.5861986</v>
      </c>
      <c r="E46" s="394">
        <f>IFERROR(IF(Loan_Not_Paid*Values_Entered,Monthly_Payment,""), "")</f>
        <v>1270529.7872591855</v>
      </c>
      <c r="F46" s="394">
        <f>IFERROR(IF(Loan_Not_Paid*Values_Entered,Principal,""), "")</f>
        <v>211390.86991727661</v>
      </c>
      <c r="G46" s="394">
        <f>IFERROR(IF(Loan_Not_Paid*Values_Entered,Interest,""), "")</f>
        <v>1059138.9173419087</v>
      </c>
      <c r="H46" s="394">
        <f>IFERROR(IF(Loan_Not_Paid*Values_Entered,Ending_Balance,""), "")</f>
        <v>195321947.71628129</v>
      </c>
    </row>
    <row r="47" spans="2:8">
      <c r="B47" s="396">
        <f>IFERROR(IF(Loan_Not_Paid*Values_Entered,Payment_Number,""), "")</f>
        <v>30</v>
      </c>
      <c r="C47" s="395"/>
      <c r="D47" s="394">
        <f>IFERROR(IF(Loan_Not_Paid*Values_Entered,Beginning_Balance,""), "")</f>
        <v>195321947.71628129</v>
      </c>
      <c r="E47" s="394">
        <f>IFERROR(IF(Loan_Not_Paid*Values_Entered,Monthly_Payment,""), "")</f>
        <v>1270529.7872591855</v>
      </c>
      <c r="F47" s="394">
        <f>IFERROR(IF(Loan_Not_Paid*Values_Entered,Principal,""), "")</f>
        <v>212535.9037959952</v>
      </c>
      <c r="G47" s="394">
        <f>IFERROR(IF(Loan_Not_Paid*Values_Entered,Interest,""), "")</f>
        <v>1057993.8834631902</v>
      </c>
      <c r="H47" s="394">
        <f>IFERROR(IF(Loan_Not_Paid*Values_Entered,Ending_Balance,""), "")</f>
        <v>195109411.81248531</v>
      </c>
    </row>
    <row r="48" spans="2:8">
      <c r="B48" s="396">
        <f>IFERROR(IF(Loan_Not_Paid*Values_Entered,Payment_Number,""), "")</f>
        <v>31</v>
      </c>
      <c r="C48" s="395"/>
      <c r="D48" s="394">
        <f>IFERROR(IF(Loan_Not_Paid*Values_Entered,Beginning_Balance,""), "")</f>
        <v>195109411.81248531</v>
      </c>
      <c r="E48" s="394">
        <f>IFERROR(IF(Loan_Not_Paid*Values_Entered,Monthly_Payment,""), "")</f>
        <v>1270529.7872591855</v>
      </c>
      <c r="F48" s="394">
        <f>IFERROR(IF(Loan_Not_Paid*Values_Entered,Principal,""), "")</f>
        <v>213687.13994155679</v>
      </c>
      <c r="G48" s="394">
        <f>IFERROR(IF(Loan_Not_Paid*Values_Entered,Interest,""), "")</f>
        <v>1056842.6473176286</v>
      </c>
      <c r="H48" s="394">
        <f>IFERROR(IF(Loan_Not_Paid*Values_Entered,Ending_Balance,""), "")</f>
        <v>194895724.67254376</v>
      </c>
    </row>
    <row r="49" spans="2:8">
      <c r="B49" s="396">
        <f>IFERROR(IF(Loan_Not_Paid*Values_Entered,Payment_Number,""), "")</f>
        <v>32</v>
      </c>
      <c r="C49" s="395"/>
      <c r="D49" s="394">
        <f>IFERROR(IF(Loan_Not_Paid*Values_Entered,Beginning_Balance,""), "")</f>
        <v>194895724.67254376</v>
      </c>
      <c r="E49" s="394">
        <f>IFERROR(IF(Loan_Not_Paid*Values_Entered,Monthly_Payment,""), "")</f>
        <v>1270529.7872591855</v>
      </c>
      <c r="F49" s="394">
        <f>IFERROR(IF(Loan_Not_Paid*Values_Entered,Principal,""), "")</f>
        <v>214844.61194957356</v>
      </c>
      <c r="G49" s="394">
        <f>IFERROR(IF(Loan_Not_Paid*Values_Entered,Interest,""), "")</f>
        <v>1055685.1753096117</v>
      </c>
      <c r="H49" s="394">
        <f>IFERROR(IF(Loan_Not_Paid*Values_Entered,Ending_Balance,""), "")</f>
        <v>194680880.0605942</v>
      </c>
    </row>
    <row r="50" spans="2:8">
      <c r="B50" s="396">
        <f>IFERROR(IF(Loan_Not_Paid*Values_Entered,Payment_Number,""), "")</f>
        <v>33</v>
      </c>
      <c r="C50" s="395"/>
      <c r="D50" s="394">
        <f>IFERROR(IF(Loan_Not_Paid*Values_Entered,Beginning_Balance,""), "")</f>
        <v>194680880.0605942</v>
      </c>
      <c r="E50" s="394">
        <f>IFERROR(IF(Loan_Not_Paid*Values_Entered,Monthly_Payment,""), "")</f>
        <v>1270529.7872591855</v>
      </c>
      <c r="F50" s="394">
        <f>IFERROR(IF(Loan_Not_Paid*Values_Entered,Principal,""), "")</f>
        <v>216008.35359763377</v>
      </c>
      <c r="G50" s="394">
        <f>IFERROR(IF(Loan_Not_Paid*Values_Entered,Interest,""), "")</f>
        <v>1054521.4336615517</v>
      </c>
      <c r="H50" s="394">
        <f>IFERROR(IF(Loan_Not_Paid*Values_Entered,Ending_Balance,""), "")</f>
        <v>194464871.70699656</v>
      </c>
    </row>
    <row r="51" spans="2:8">
      <c r="B51" s="396">
        <f>IFERROR(IF(Loan_Not_Paid*Values_Entered,Payment_Number,""), "")</f>
        <v>34</v>
      </c>
      <c r="C51" s="395"/>
      <c r="D51" s="394">
        <f>IFERROR(IF(Loan_Not_Paid*Values_Entered,Beginning_Balance,""), "")</f>
        <v>194464871.70699656</v>
      </c>
      <c r="E51" s="394">
        <f>IFERROR(IF(Loan_Not_Paid*Values_Entered,Monthly_Payment,""), "")</f>
        <v>1270529.7872591855</v>
      </c>
      <c r="F51" s="394">
        <f>IFERROR(IF(Loan_Not_Paid*Values_Entered,Principal,""), "")</f>
        <v>217178.39884628763</v>
      </c>
      <c r="G51" s="394">
        <f>IFERROR(IF(Loan_Not_Paid*Values_Entered,Interest,""), "")</f>
        <v>1053351.3884128977</v>
      </c>
      <c r="H51" s="394">
        <f>IFERROR(IF(Loan_Not_Paid*Values_Entered,Ending_Balance,""), "")</f>
        <v>194247693.30815029</v>
      </c>
    </row>
    <row r="52" spans="2:8">
      <c r="B52" s="396">
        <f>IFERROR(IF(Loan_Not_Paid*Values_Entered,Payment_Number,""), "")</f>
        <v>35</v>
      </c>
      <c r="C52" s="395"/>
      <c r="D52" s="394">
        <f>IFERROR(IF(Loan_Not_Paid*Values_Entered,Beginning_Balance,""), "")</f>
        <v>194247693.30815029</v>
      </c>
      <c r="E52" s="394">
        <f>IFERROR(IF(Loan_Not_Paid*Values_Entered,Monthly_Payment,""), "")</f>
        <v>1270529.7872591855</v>
      </c>
      <c r="F52" s="394">
        <f>IFERROR(IF(Loan_Not_Paid*Values_Entered,Principal,""), "")</f>
        <v>218354.78184003834</v>
      </c>
      <c r="G52" s="394">
        <f>IFERROR(IF(Loan_Not_Paid*Values_Entered,Interest,""), "")</f>
        <v>1052175.005419147</v>
      </c>
      <c r="H52" s="394">
        <f>IFERROR(IF(Loan_Not_Paid*Values_Entered,Ending_Balance,""), "")</f>
        <v>194029338.52631024</v>
      </c>
    </row>
    <row r="53" spans="2:8">
      <c r="B53" s="396">
        <f>IFERROR(IF(Loan_Not_Paid*Values_Entered,Payment_Number,""), "")</f>
        <v>36</v>
      </c>
      <c r="C53" s="395"/>
      <c r="D53" s="394">
        <f>IFERROR(IF(Loan_Not_Paid*Values_Entered,Beginning_Balance,""), "")</f>
        <v>194029338.52631024</v>
      </c>
      <c r="E53" s="394">
        <f>IFERROR(IF(Loan_Not_Paid*Values_Entered,Monthly_Payment,""), "")</f>
        <v>1270529.7872591855</v>
      </c>
      <c r="F53" s="394">
        <f>IFERROR(IF(Loan_Not_Paid*Values_Entered,Principal,""), "")</f>
        <v>219537.53690833854</v>
      </c>
      <c r="G53" s="394">
        <f>IFERROR(IF(Loan_Not_Paid*Values_Entered,Interest,""), "")</f>
        <v>1050992.2503508469</v>
      </c>
      <c r="H53" s="394">
        <f>IFERROR(IF(Loan_Not_Paid*Values_Entered,Ending_Balance,""), "")</f>
        <v>193809800.98940188</v>
      </c>
    </row>
    <row r="54" spans="2:8">
      <c r="B54" s="396">
        <f>IFERROR(IF(Loan_Not_Paid*Values_Entered,Payment_Number,""), "")</f>
        <v>37</v>
      </c>
      <c r="C54" s="395"/>
      <c r="D54" s="394">
        <f>IFERROR(IF(Loan_Not_Paid*Values_Entered,Beginning_Balance,""), "")</f>
        <v>193809800.98940188</v>
      </c>
      <c r="E54" s="394">
        <f>IFERROR(IF(Loan_Not_Paid*Values_Entered,Monthly_Payment,""), "")</f>
        <v>1270529.7872591855</v>
      </c>
      <c r="F54" s="394">
        <f>IFERROR(IF(Loan_Not_Paid*Values_Entered,Principal,""), "")</f>
        <v>220726.69856659204</v>
      </c>
      <c r="G54" s="394">
        <f>IFERROR(IF(Loan_Not_Paid*Values_Entered,Interest,""), "")</f>
        <v>1049803.0886925934</v>
      </c>
      <c r="H54" s="394">
        <f>IFERROR(IF(Loan_Not_Paid*Values_Entered,Ending_Balance,""), "")</f>
        <v>193589074.29083532</v>
      </c>
    </row>
    <row r="55" spans="2:8">
      <c r="B55" s="396">
        <f>IFERROR(IF(Loan_Not_Paid*Values_Entered,Payment_Number,""), "")</f>
        <v>38</v>
      </c>
      <c r="C55" s="395"/>
      <c r="D55" s="394">
        <f>IFERROR(IF(Loan_Not_Paid*Values_Entered,Beginning_Balance,""), "")</f>
        <v>193589074.29083532</v>
      </c>
      <c r="E55" s="394">
        <f>IFERROR(IF(Loan_Not_Paid*Values_Entered,Monthly_Payment,""), "")</f>
        <v>1270529.7872591855</v>
      </c>
      <c r="F55" s="394">
        <f>IFERROR(IF(Loan_Not_Paid*Values_Entered,Principal,""), "")</f>
        <v>221922.3015171611</v>
      </c>
      <c r="G55" s="394">
        <f>IFERROR(IF(Loan_Not_Paid*Values_Entered,Interest,""), "")</f>
        <v>1048607.4857420244</v>
      </c>
      <c r="H55" s="394">
        <f>IFERROR(IF(Loan_Not_Paid*Values_Entered,Ending_Balance,""), "")</f>
        <v>193367151.98931816</v>
      </c>
    </row>
    <row r="56" spans="2:8">
      <c r="B56" s="396">
        <f>IFERROR(IF(Loan_Not_Paid*Values_Entered,Payment_Number,""), "")</f>
        <v>39</v>
      </c>
      <c r="C56" s="395"/>
      <c r="D56" s="394">
        <f>IFERROR(IF(Loan_Not_Paid*Values_Entered,Beginning_Balance,""), "")</f>
        <v>193367151.98931816</v>
      </c>
      <c r="E56" s="394">
        <f>IFERROR(IF(Loan_Not_Paid*Values_Entered,Monthly_Payment,""), "")</f>
        <v>1270529.7872591855</v>
      </c>
      <c r="F56" s="394">
        <f>IFERROR(IF(Loan_Not_Paid*Values_Entered,Principal,""), "")</f>
        <v>223124.38065037903</v>
      </c>
      <c r="G56" s="394">
        <f>IFERROR(IF(Loan_Not_Paid*Values_Entered,Interest,""), "")</f>
        <v>1047405.4066088065</v>
      </c>
      <c r="H56" s="394">
        <f>IFERROR(IF(Loan_Not_Paid*Values_Entered,Ending_Balance,""), "")</f>
        <v>193144027.60866776</v>
      </c>
    </row>
    <row r="57" spans="2:8">
      <c r="B57" s="396">
        <f>IFERROR(IF(Loan_Not_Paid*Values_Entered,Payment_Number,""), "")</f>
        <v>40</v>
      </c>
      <c r="C57" s="395"/>
      <c r="D57" s="394">
        <f>IFERROR(IF(Loan_Not_Paid*Values_Entered,Beginning_Balance,""), "")</f>
        <v>193144027.60866776</v>
      </c>
      <c r="E57" s="394">
        <f>IFERROR(IF(Loan_Not_Paid*Values_Entered,Monthly_Payment,""), "")</f>
        <v>1270529.7872591855</v>
      </c>
      <c r="F57" s="394">
        <f>IFERROR(IF(Loan_Not_Paid*Values_Entered,Principal,""), "")</f>
        <v>224332.97104556859</v>
      </c>
      <c r="G57" s="394">
        <f>IFERROR(IF(Loan_Not_Paid*Values_Entered,Interest,""), "")</f>
        <v>1046196.8162136169</v>
      </c>
      <c r="H57" s="394">
        <f>IFERROR(IF(Loan_Not_Paid*Values_Entered,Ending_Balance,""), "")</f>
        <v>192919694.63762224</v>
      </c>
    </row>
    <row r="58" spans="2:8">
      <c r="B58" s="396">
        <f>IFERROR(IF(Loan_Not_Paid*Values_Entered,Payment_Number,""), "")</f>
        <v>41</v>
      </c>
      <c r="C58" s="395"/>
      <c r="D58" s="394">
        <f>IFERROR(IF(Loan_Not_Paid*Values_Entered,Beginning_Balance,""), "")</f>
        <v>192919694.63762224</v>
      </c>
      <c r="E58" s="394">
        <f>IFERROR(IF(Loan_Not_Paid*Values_Entered,Monthly_Payment,""), "")</f>
        <v>1270529.7872591855</v>
      </c>
      <c r="F58" s="394">
        <f>IFERROR(IF(Loan_Not_Paid*Values_Entered,Principal,""), "")</f>
        <v>225548.10797206542</v>
      </c>
      <c r="G58" s="394">
        <f>IFERROR(IF(Loan_Not_Paid*Values_Entered,Interest,""), "")</f>
        <v>1044981.67928712</v>
      </c>
      <c r="H58" s="394">
        <f>IFERROR(IF(Loan_Not_Paid*Values_Entered,Ending_Balance,""), "")</f>
        <v>192694146.52965015</v>
      </c>
    </row>
    <row r="59" spans="2:8">
      <c r="B59" s="396">
        <f>IFERROR(IF(Loan_Not_Paid*Values_Entered,Payment_Number,""), "")</f>
        <v>42</v>
      </c>
      <c r="C59" s="395"/>
      <c r="D59" s="394">
        <f>IFERROR(IF(Loan_Not_Paid*Values_Entered,Beginning_Balance,""), "")</f>
        <v>192694146.52965015</v>
      </c>
      <c r="E59" s="394">
        <f>IFERROR(IF(Loan_Not_Paid*Values_Entered,Monthly_Payment,""), "")</f>
        <v>1270529.7872591855</v>
      </c>
      <c r="F59" s="394">
        <f>IFERROR(IF(Loan_Not_Paid*Values_Entered,Principal,""), "")</f>
        <v>226769.82689024744</v>
      </c>
      <c r="G59" s="394">
        <f>IFERROR(IF(Loan_Not_Paid*Values_Entered,Interest,""), "")</f>
        <v>1043759.9603689379</v>
      </c>
      <c r="H59" s="394">
        <f>IFERROR(IF(Loan_Not_Paid*Values_Entered,Ending_Balance,""), "")</f>
        <v>192467376.70275989</v>
      </c>
    </row>
    <row r="60" spans="2:8">
      <c r="B60" s="396">
        <f>IFERROR(IF(Loan_Not_Paid*Values_Entered,Payment_Number,""), "")</f>
        <v>43</v>
      </c>
      <c r="C60" s="395"/>
      <c r="D60" s="394">
        <f>IFERROR(IF(Loan_Not_Paid*Values_Entered,Beginning_Balance,""), "")</f>
        <v>192467376.70275989</v>
      </c>
      <c r="E60" s="394">
        <f>IFERROR(IF(Loan_Not_Paid*Values_Entered,Monthly_Payment,""), "")</f>
        <v>1270529.7872591855</v>
      </c>
      <c r="F60" s="394">
        <f>IFERROR(IF(Loan_Not_Paid*Values_Entered,Principal,""), "")</f>
        <v>227998.16345256963</v>
      </c>
      <c r="G60" s="394">
        <f>IFERROR(IF(Loan_Not_Paid*Values_Entered,Interest,""), "")</f>
        <v>1042531.6238066156</v>
      </c>
      <c r="H60" s="394">
        <f>IFERROR(IF(Loan_Not_Paid*Values_Entered,Ending_Balance,""), "")</f>
        <v>192239378.53930736</v>
      </c>
    </row>
    <row r="61" spans="2:8">
      <c r="B61" s="396">
        <f>IFERROR(IF(Loan_Not_Paid*Values_Entered,Payment_Number,""), "")</f>
        <v>44</v>
      </c>
      <c r="C61" s="395"/>
      <c r="D61" s="394">
        <f>IFERROR(IF(Loan_Not_Paid*Values_Entered,Beginning_Balance,""), "")</f>
        <v>192239378.53930736</v>
      </c>
      <c r="E61" s="394">
        <f>IFERROR(IF(Loan_Not_Paid*Values_Entered,Monthly_Payment,""), "")</f>
        <v>1270529.7872591855</v>
      </c>
      <c r="F61" s="394">
        <f>IFERROR(IF(Loan_Not_Paid*Values_Entered,Principal,""), "")</f>
        <v>229233.15350460439</v>
      </c>
      <c r="G61" s="394">
        <f>IFERROR(IF(Loan_Not_Paid*Values_Entered,Interest,""), "")</f>
        <v>1041296.6337545811</v>
      </c>
      <c r="H61" s="394">
        <f>IFERROR(IF(Loan_Not_Paid*Values_Entered,Ending_Balance,""), "")</f>
        <v>192010145.38580275</v>
      </c>
    </row>
    <row r="62" spans="2:8">
      <c r="B62" s="396">
        <f>IFERROR(IF(Loan_Not_Paid*Values_Entered,Payment_Number,""), "")</f>
        <v>45</v>
      </c>
      <c r="C62" s="395"/>
      <c r="D62" s="394">
        <f>IFERROR(IF(Loan_Not_Paid*Values_Entered,Beginning_Balance,""), "")</f>
        <v>192010145.38580275</v>
      </c>
      <c r="E62" s="394">
        <f>IFERROR(IF(Loan_Not_Paid*Values_Entered,Monthly_Payment,""), "")</f>
        <v>1270529.7872591855</v>
      </c>
      <c r="F62" s="394">
        <f>IFERROR(IF(Loan_Not_Paid*Values_Entered,Principal,""), "")</f>
        <v>230474.83308608763</v>
      </c>
      <c r="G62" s="394">
        <f>IFERROR(IF(Loan_Not_Paid*Values_Entered,Interest,""), "")</f>
        <v>1040054.9541730977</v>
      </c>
      <c r="H62" s="394">
        <f>IFERROR(IF(Loan_Not_Paid*Values_Entered,Ending_Balance,""), "")</f>
        <v>191779670.55271664</v>
      </c>
    </row>
    <row r="63" spans="2:8">
      <c r="B63" s="396">
        <f>IFERROR(IF(Loan_Not_Paid*Values_Entered,Payment_Number,""), "")</f>
        <v>46</v>
      </c>
      <c r="C63" s="395"/>
      <c r="D63" s="394">
        <f>IFERROR(IF(Loan_Not_Paid*Values_Entered,Beginning_Balance,""), "")</f>
        <v>191779670.55271664</v>
      </c>
      <c r="E63" s="394">
        <f>IFERROR(IF(Loan_Not_Paid*Values_Entered,Monthly_Payment,""), "")</f>
        <v>1270529.7872591855</v>
      </c>
      <c r="F63" s="394">
        <f>IFERROR(IF(Loan_Not_Paid*Values_Entered,Principal,""), "")</f>
        <v>231723.23843197059</v>
      </c>
      <c r="G63" s="394">
        <f>IFERROR(IF(Loan_Not_Paid*Values_Entered,Interest,""), "")</f>
        <v>1038806.5488272149</v>
      </c>
      <c r="H63" s="394">
        <f>IFERROR(IF(Loan_Not_Paid*Values_Entered,Ending_Balance,""), "")</f>
        <v>191547947.31428468</v>
      </c>
    </row>
    <row r="64" spans="2:8">
      <c r="B64" s="396">
        <f>IFERROR(IF(Loan_Not_Paid*Values_Entered,Payment_Number,""), "")</f>
        <v>47</v>
      </c>
      <c r="C64" s="395"/>
      <c r="D64" s="394">
        <f>IFERROR(IF(Loan_Not_Paid*Values_Entered,Beginning_Balance,""), "")</f>
        <v>191547947.31428468</v>
      </c>
      <c r="E64" s="394">
        <f>IFERROR(IF(Loan_Not_Paid*Values_Entered,Monthly_Payment,""), "")</f>
        <v>1270529.7872591855</v>
      </c>
      <c r="F64" s="394">
        <f>IFERROR(IF(Loan_Not_Paid*Values_Entered,Principal,""), "")</f>
        <v>232978.40597347714</v>
      </c>
      <c r="G64" s="394">
        <f>IFERROR(IF(Loan_Not_Paid*Values_Entered,Interest,""), "")</f>
        <v>1037551.3812857083</v>
      </c>
      <c r="H64" s="394">
        <f>IFERROR(IF(Loan_Not_Paid*Values_Entered,Ending_Balance,""), "")</f>
        <v>191314968.90831125</v>
      </c>
    </row>
    <row r="65" spans="2:8">
      <c r="B65" s="396">
        <f>IFERROR(IF(Loan_Not_Paid*Values_Entered,Payment_Number,""), "")</f>
        <v>48</v>
      </c>
      <c r="C65" s="395"/>
      <c r="D65" s="394">
        <f>IFERROR(IF(Loan_Not_Paid*Values_Entered,Beginning_Balance,""), "")</f>
        <v>191314968.90831125</v>
      </c>
      <c r="E65" s="394">
        <f>IFERROR(IF(Loan_Not_Paid*Values_Entered,Monthly_Payment,""), "")</f>
        <v>1270529.7872591855</v>
      </c>
      <c r="F65" s="394">
        <f>IFERROR(IF(Loan_Not_Paid*Values_Entered,Principal,""), "")</f>
        <v>234240.37233916682</v>
      </c>
      <c r="G65" s="394">
        <f>IFERROR(IF(Loan_Not_Paid*Values_Entered,Interest,""), "")</f>
        <v>1036289.4149200186</v>
      </c>
      <c r="H65" s="394">
        <f>IFERROR(IF(Loan_Not_Paid*Values_Entered,Ending_Balance,""), "")</f>
        <v>191080728.53597203</v>
      </c>
    </row>
    <row r="66" spans="2:8">
      <c r="B66" s="396">
        <f>IFERROR(IF(Loan_Not_Paid*Values_Entered,Payment_Number,""), "")</f>
        <v>49</v>
      </c>
      <c r="C66" s="395"/>
      <c r="D66" s="394">
        <f>IFERROR(IF(Loan_Not_Paid*Values_Entered,Beginning_Balance,""), "")</f>
        <v>191080728.53597203</v>
      </c>
      <c r="E66" s="394">
        <f>IFERROR(IF(Loan_Not_Paid*Values_Entered,Monthly_Payment,""), "")</f>
        <v>1270529.7872591855</v>
      </c>
      <c r="F66" s="394">
        <f>IFERROR(IF(Loan_Not_Paid*Values_Entered,Principal,""), "")</f>
        <v>235509.17435600396</v>
      </c>
      <c r="G66" s="394">
        <f>IFERROR(IF(Loan_Not_Paid*Values_Entered,Interest,""), "")</f>
        <v>1035020.6129031816</v>
      </c>
      <c r="H66" s="394">
        <f>IFERROR(IF(Loan_Not_Paid*Values_Entered,Ending_Balance,""), "")</f>
        <v>190845219.36161605</v>
      </c>
    </row>
    <row r="67" spans="2:8">
      <c r="B67" s="396">
        <f>IFERROR(IF(Loan_Not_Paid*Values_Entered,Payment_Number,""), "")</f>
        <v>50</v>
      </c>
      <c r="C67" s="395"/>
      <c r="D67" s="394">
        <f>IFERROR(IF(Loan_Not_Paid*Values_Entered,Beginning_Balance,""), "")</f>
        <v>190845219.36161605</v>
      </c>
      <c r="E67" s="394">
        <f>IFERROR(IF(Loan_Not_Paid*Values_Entered,Monthly_Payment,""), "")</f>
        <v>1270529.7872591855</v>
      </c>
      <c r="F67" s="394">
        <f>IFERROR(IF(Loan_Not_Paid*Values_Entered,Principal,""), "")</f>
        <v>236784.8490504323</v>
      </c>
      <c r="G67" s="394">
        <f>IFERROR(IF(Loan_Not_Paid*Values_Entered,Interest,""), "")</f>
        <v>1033744.9382087531</v>
      </c>
      <c r="H67" s="394">
        <f>IFERROR(IF(Loan_Not_Paid*Values_Entered,Ending_Balance,""), "")</f>
        <v>190608434.51256561</v>
      </c>
    </row>
    <row r="68" spans="2:8">
      <c r="B68" s="396">
        <f>IFERROR(IF(Loan_Not_Paid*Values_Entered,Payment_Number,""), "")</f>
        <v>51</v>
      </c>
      <c r="C68" s="395"/>
      <c r="D68" s="394">
        <f>IFERROR(IF(Loan_Not_Paid*Values_Entered,Beginning_Balance,""), "")</f>
        <v>190608434.51256561</v>
      </c>
      <c r="E68" s="394">
        <f>IFERROR(IF(Loan_Not_Paid*Values_Entered,Monthly_Payment,""), "")</f>
        <v>1270529.7872591855</v>
      </c>
      <c r="F68" s="394">
        <f>IFERROR(IF(Loan_Not_Paid*Values_Entered,Principal,""), "")</f>
        <v>238067.43364945546</v>
      </c>
      <c r="G68" s="394">
        <f>IFERROR(IF(Loan_Not_Paid*Values_Entered,Interest,""), "")</f>
        <v>1032462.3536097299</v>
      </c>
      <c r="H68" s="394">
        <f>IFERROR(IF(Loan_Not_Paid*Values_Entered,Ending_Balance,""), "")</f>
        <v>190370367.07891616</v>
      </c>
    </row>
    <row r="69" spans="2:8">
      <c r="B69" s="396">
        <f>IFERROR(IF(Loan_Not_Paid*Values_Entered,Payment_Number,""), "")</f>
        <v>52</v>
      </c>
      <c r="C69" s="395"/>
      <c r="D69" s="394">
        <f>IFERROR(IF(Loan_Not_Paid*Values_Entered,Beginning_Balance,""), "")</f>
        <v>190370367.07891616</v>
      </c>
      <c r="E69" s="394">
        <f>IFERROR(IF(Loan_Not_Paid*Values_Entered,Monthly_Payment,""), "")</f>
        <v>1270529.7872591855</v>
      </c>
      <c r="F69" s="394">
        <f>IFERROR(IF(Loan_Not_Paid*Values_Entered,Principal,""), "")</f>
        <v>239356.96558172337</v>
      </c>
      <c r="G69" s="394">
        <f>IFERROR(IF(Loan_Not_Paid*Values_Entered,Interest,""), "")</f>
        <v>1031172.821677462</v>
      </c>
      <c r="H69" s="394">
        <f>IFERROR(IF(Loan_Not_Paid*Values_Entered,Ending_Balance,""), "")</f>
        <v>190131010.11333448</v>
      </c>
    </row>
    <row r="70" spans="2:8">
      <c r="B70" s="396">
        <f>IFERROR(IF(Loan_Not_Paid*Values_Entered,Payment_Number,""), "")</f>
        <v>53</v>
      </c>
      <c r="C70" s="395"/>
      <c r="D70" s="394">
        <f>IFERROR(IF(Loan_Not_Paid*Values_Entered,Beginning_Balance,""), "")</f>
        <v>190131010.11333448</v>
      </c>
      <c r="E70" s="394">
        <f>IFERROR(IF(Loan_Not_Paid*Values_Entered,Monthly_Payment,""), "")</f>
        <v>1270529.7872591855</v>
      </c>
      <c r="F70" s="394">
        <f>IFERROR(IF(Loan_Not_Paid*Values_Entered,Principal,""), "")</f>
        <v>240653.48247862441</v>
      </c>
      <c r="G70" s="394">
        <f>IFERROR(IF(Loan_Not_Paid*Values_Entered,Interest,""), "")</f>
        <v>1029876.304780561</v>
      </c>
      <c r="H70" s="394">
        <f>IFERROR(IF(Loan_Not_Paid*Values_Entered,Ending_Balance,""), "")</f>
        <v>189890356.6308558</v>
      </c>
    </row>
    <row r="71" spans="2:8">
      <c r="B71" s="396">
        <f>IFERROR(IF(Loan_Not_Paid*Values_Entered,Payment_Number,""), "")</f>
        <v>54</v>
      </c>
      <c r="C71" s="395"/>
      <c r="D71" s="394">
        <f>IFERROR(IF(Loan_Not_Paid*Values_Entered,Beginning_Balance,""), "")</f>
        <v>189890356.6308558</v>
      </c>
      <c r="E71" s="394">
        <f>IFERROR(IF(Loan_Not_Paid*Values_Entered,Monthly_Payment,""), "")</f>
        <v>1270529.7872591855</v>
      </c>
      <c r="F71" s="394">
        <f>IFERROR(IF(Loan_Not_Paid*Values_Entered,Principal,""), "")</f>
        <v>241957.02217538358</v>
      </c>
      <c r="G71" s="394">
        <f>IFERROR(IF(Loan_Not_Paid*Values_Entered,Interest,""), "")</f>
        <v>1028572.7650838019</v>
      </c>
      <c r="H71" s="394">
        <f>IFERROR(IF(Loan_Not_Paid*Values_Entered,Ending_Balance,""), "")</f>
        <v>189648399.60868043</v>
      </c>
    </row>
    <row r="72" spans="2:8">
      <c r="B72" s="396">
        <f>IFERROR(IF(Loan_Not_Paid*Values_Entered,Payment_Number,""), "")</f>
        <v>55</v>
      </c>
      <c r="C72" s="395"/>
      <c r="D72" s="394">
        <f>IFERROR(IF(Loan_Not_Paid*Values_Entered,Beginning_Balance,""), "")</f>
        <v>189648399.60868043</v>
      </c>
      <c r="E72" s="394">
        <f>IFERROR(IF(Loan_Not_Paid*Values_Entered,Monthly_Payment,""), "")</f>
        <v>1270529.7872591855</v>
      </c>
      <c r="F72" s="394">
        <f>IFERROR(IF(Loan_Not_Paid*Values_Entered,Principal,""), "")</f>
        <v>243267.62271216689</v>
      </c>
      <c r="G72" s="394">
        <f>IFERROR(IF(Loan_Not_Paid*Values_Entered,Interest,""), "")</f>
        <v>1027262.1645470185</v>
      </c>
      <c r="H72" s="394">
        <f>IFERROR(IF(Loan_Not_Paid*Values_Entered,Ending_Balance,""), "")</f>
        <v>189405131.98596829</v>
      </c>
    </row>
    <row r="73" spans="2:8">
      <c r="B73" s="396">
        <f>IFERROR(IF(Loan_Not_Paid*Values_Entered,Payment_Number,""), "")</f>
        <v>56</v>
      </c>
      <c r="C73" s="395"/>
      <c r="D73" s="394">
        <f>IFERROR(IF(Loan_Not_Paid*Values_Entered,Beginning_Balance,""), "")</f>
        <v>189405131.98596829</v>
      </c>
      <c r="E73" s="394">
        <f>IFERROR(IF(Loan_Not_Paid*Values_Entered,Monthly_Payment,""), "")</f>
        <v>1270529.7872591855</v>
      </c>
      <c r="F73" s="394">
        <f>IFERROR(IF(Loan_Not_Paid*Values_Entered,Principal,""), "")</f>
        <v>244585.32233519116</v>
      </c>
      <c r="G73" s="394">
        <f>IFERROR(IF(Loan_Not_Paid*Values_Entered,Interest,""), "")</f>
        <v>1025944.4649239943</v>
      </c>
      <c r="H73" s="394">
        <f>IFERROR(IF(Loan_Not_Paid*Values_Entered,Ending_Balance,""), "")</f>
        <v>189160546.66363311</v>
      </c>
    </row>
    <row r="74" spans="2:8">
      <c r="B74" s="396">
        <f>IFERROR(IF(Loan_Not_Paid*Values_Entered,Payment_Number,""), "")</f>
        <v>57</v>
      </c>
      <c r="C74" s="395"/>
      <c r="D74" s="394">
        <f>IFERROR(IF(Loan_Not_Paid*Values_Entered,Beginning_Balance,""), "")</f>
        <v>189160546.66363311</v>
      </c>
      <c r="E74" s="394">
        <f>IFERROR(IF(Loan_Not_Paid*Values_Entered,Monthly_Payment,""), "")</f>
        <v>1270529.7872591855</v>
      </c>
      <c r="F74" s="394">
        <f>IFERROR(IF(Loan_Not_Paid*Values_Entered,Principal,""), "")</f>
        <v>245910.1594978401</v>
      </c>
      <c r="G74" s="394">
        <f>IFERROR(IF(Loan_Not_Paid*Values_Entered,Interest,""), "")</f>
        <v>1024619.6277613454</v>
      </c>
      <c r="H74" s="394">
        <f>IFERROR(IF(Loan_Not_Paid*Values_Entered,Ending_Balance,""), "")</f>
        <v>188914636.50413525</v>
      </c>
    </row>
    <row r="75" spans="2:8">
      <c r="B75" s="396">
        <f>IFERROR(IF(Loan_Not_Paid*Values_Entered,Payment_Number,""), "")</f>
        <v>58</v>
      </c>
      <c r="C75" s="395"/>
      <c r="D75" s="394">
        <f>IFERROR(IF(Loan_Not_Paid*Values_Entered,Beginning_Balance,""), "")</f>
        <v>188914636.50413525</v>
      </c>
      <c r="E75" s="394">
        <f>IFERROR(IF(Loan_Not_Paid*Values_Entered,Monthly_Payment,""), "")</f>
        <v>1270529.7872591855</v>
      </c>
      <c r="F75" s="394">
        <f>IFERROR(IF(Loan_Not_Paid*Values_Entered,Principal,""), "")</f>
        <v>247242.17286178676</v>
      </c>
      <c r="G75" s="394">
        <f>IFERROR(IF(Loan_Not_Paid*Values_Entered,Interest,""), "")</f>
        <v>1023287.6143973987</v>
      </c>
      <c r="H75" s="394">
        <f>IFERROR(IF(Loan_Not_Paid*Values_Entered,Ending_Balance,""), "")</f>
        <v>188667394.3312735</v>
      </c>
    </row>
    <row r="76" spans="2:8">
      <c r="B76" s="396">
        <f>IFERROR(IF(Loan_Not_Paid*Values_Entered,Payment_Number,""), "")</f>
        <v>59</v>
      </c>
      <c r="C76" s="395"/>
      <c r="D76" s="394">
        <f>IFERROR(IF(Loan_Not_Paid*Values_Entered,Beginning_Balance,""), "")</f>
        <v>188667394.3312735</v>
      </c>
      <c r="E76" s="394">
        <f>IFERROR(IF(Loan_Not_Paid*Values_Entered,Monthly_Payment,""), "")</f>
        <v>1270529.7872591855</v>
      </c>
      <c r="F76" s="394">
        <f>IFERROR(IF(Loan_Not_Paid*Values_Entered,Principal,""), "")</f>
        <v>248581.40129812146</v>
      </c>
      <c r="G76" s="394">
        <f>IFERROR(IF(Loan_Not_Paid*Values_Entered,Interest,""), "")</f>
        <v>1021948.385961064</v>
      </c>
      <c r="H76" s="394">
        <f>IFERROR(IF(Loan_Not_Paid*Values_Entered,Ending_Balance,""), "")</f>
        <v>188418812.92997533</v>
      </c>
    </row>
    <row r="77" spans="2:8">
      <c r="B77" s="396">
        <f>IFERROR(IF(Loan_Not_Paid*Values_Entered,Payment_Number,""), "")</f>
        <v>60</v>
      </c>
      <c r="C77" s="395"/>
      <c r="D77" s="394">
        <f>IFERROR(IF(Loan_Not_Paid*Values_Entered,Beginning_Balance,""), "")</f>
        <v>188418812.92997533</v>
      </c>
      <c r="E77" s="394">
        <f>IFERROR(IF(Loan_Not_Paid*Values_Entered,Monthly_Payment,""), "")</f>
        <v>1270529.7872591855</v>
      </c>
      <c r="F77" s="394">
        <f>IFERROR(IF(Loan_Not_Paid*Values_Entered,Principal,""), "")</f>
        <v>249927.88388848625</v>
      </c>
      <c r="G77" s="394">
        <f>IFERROR(IF(Loan_Not_Paid*Values_Entered,Interest,""), "")</f>
        <v>1020601.9033706993</v>
      </c>
      <c r="H77" s="394">
        <f>IFERROR(IF(Loan_Not_Paid*Values_Entered,Ending_Balance,""), "")</f>
        <v>188168885.04608685</v>
      </c>
    </row>
    <row r="78" spans="2:8">
      <c r="B78" s="396">
        <f>IFERROR(IF(Loan_Not_Paid*Values_Entered,Payment_Number,""), "")</f>
        <v>61</v>
      </c>
      <c r="C78" s="395"/>
      <c r="D78" s="394">
        <f>IFERROR(IF(Loan_Not_Paid*Values_Entered,Beginning_Balance,""), "")</f>
        <v>188168885.04608685</v>
      </c>
      <c r="E78" s="394">
        <f>IFERROR(IF(Loan_Not_Paid*Values_Entered,Monthly_Payment,""), "")</f>
        <v>1270529.7872591855</v>
      </c>
      <c r="F78" s="394">
        <f>IFERROR(IF(Loan_Not_Paid*Values_Entered,Principal,""), "")</f>
        <v>251281.65992621557</v>
      </c>
      <c r="G78" s="394">
        <f>IFERROR(IF(Loan_Not_Paid*Values_Entered,Interest,""), "")</f>
        <v>1019248.1273329698</v>
      </c>
      <c r="H78" s="394">
        <f>IFERROR(IF(Loan_Not_Paid*Values_Entered,Ending_Balance,""), "")</f>
        <v>187917603.38616067</v>
      </c>
    </row>
    <row r="79" spans="2:8">
      <c r="B79" s="396">
        <f>IFERROR(IF(Loan_Not_Paid*Values_Entered,Payment_Number,""), "")</f>
        <v>62</v>
      </c>
      <c r="C79" s="395"/>
      <c r="D79" s="394">
        <f>IFERROR(IF(Loan_Not_Paid*Values_Entered,Beginning_Balance,""), "")</f>
        <v>187917603.38616067</v>
      </c>
      <c r="E79" s="394">
        <f>IFERROR(IF(Loan_Not_Paid*Values_Entered,Monthly_Payment,""), "")</f>
        <v>1270529.7872591855</v>
      </c>
      <c r="F79" s="394">
        <f>IFERROR(IF(Loan_Not_Paid*Values_Entered,Principal,""), "")</f>
        <v>252642.76891748255</v>
      </c>
      <c r="G79" s="394">
        <f>IFERROR(IF(Loan_Not_Paid*Values_Entered,Interest,""), "")</f>
        <v>1017887.0183417029</v>
      </c>
      <c r="H79" s="394">
        <f>IFERROR(IF(Loan_Not_Paid*Values_Entered,Ending_Balance,""), "")</f>
        <v>187664960.61724317</v>
      </c>
    </row>
    <row r="80" spans="2:8">
      <c r="B80" s="396">
        <f>IFERROR(IF(Loan_Not_Paid*Values_Entered,Payment_Number,""), "")</f>
        <v>63</v>
      </c>
      <c r="C80" s="395"/>
      <c r="D80" s="394">
        <f>IFERROR(IF(Loan_Not_Paid*Values_Entered,Beginning_Balance,""), "")</f>
        <v>187664960.61724317</v>
      </c>
      <c r="E80" s="394">
        <f>IFERROR(IF(Loan_Not_Paid*Values_Entered,Monthly_Payment,""), "")</f>
        <v>1270529.7872591855</v>
      </c>
      <c r="F80" s="394">
        <f>IFERROR(IF(Loan_Not_Paid*Values_Entered,Principal,""), "")</f>
        <v>254011.25058245228</v>
      </c>
      <c r="G80" s="394">
        <f>IFERROR(IF(Loan_Not_Paid*Values_Entered,Interest,""), "")</f>
        <v>1016518.5366767331</v>
      </c>
      <c r="H80" s="394">
        <f>IFERROR(IF(Loan_Not_Paid*Values_Entered,Ending_Balance,""), "")</f>
        <v>187410949.36666071</v>
      </c>
    </row>
    <row r="81" spans="2:8">
      <c r="B81" s="396">
        <f>IFERROR(IF(Loan_Not_Paid*Values_Entered,Payment_Number,""), "")</f>
        <v>64</v>
      </c>
      <c r="C81" s="395"/>
      <c r="D81" s="394">
        <f>IFERROR(IF(Loan_Not_Paid*Values_Entered,Beginning_Balance,""), "")</f>
        <v>187410949.36666071</v>
      </c>
      <c r="E81" s="394">
        <f>IFERROR(IF(Loan_Not_Paid*Values_Entered,Monthly_Payment,""), "")</f>
        <v>1270529.7872591855</v>
      </c>
      <c r="F81" s="394">
        <f>IFERROR(IF(Loan_Not_Paid*Values_Entered,Principal,""), "")</f>
        <v>255387.14485644049</v>
      </c>
      <c r="G81" s="394">
        <f>IFERROR(IF(Loan_Not_Paid*Values_Entered,Interest,""), "")</f>
        <v>1015142.642402745</v>
      </c>
      <c r="H81" s="394">
        <f>IFERROR(IF(Loan_Not_Paid*Values_Entered,Ending_Balance,""), "")</f>
        <v>187155562.22180432</v>
      </c>
    </row>
    <row r="82" spans="2:8">
      <c r="B82" s="396">
        <f>IFERROR(IF(Loan_Not_Paid*Values_Entered,Payment_Number,""), "")</f>
        <v>65</v>
      </c>
      <c r="C82" s="395"/>
      <c r="D82" s="394">
        <f>IFERROR(IF(Loan_Not_Paid*Values_Entered,Beginning_Balance,""), "")</f>
        <v>187155562.22180432</v>
      </c>
      <c r="E82" s="394">
        <f>IFERROR(IF(Loan_Not_Paid*Values_Entered,Monthly_Payment,""), "")</f>
        <v>1270529.7872591855</v>
      </c>
      <c r="F82" s="394">
        <f>IFERROR(IF(Loan_Not_Paid*Values_Entered,Principal,""), "")</f>
        <v>256770.49189107952</v>
      </c>
      <c r="G82" s="394">
        <f>IFERROR(IF(Loan_Not_Paid*Values_Entered,Interest,""), "")</f>
        <v>1013759.2953681058</v>
      </c>
      <c r="H82" s="394">
        <f>IFERROR(IF(Loan_Not_Paid*Values_Entered,Ending_Balance,""), "")</f>
        <v>186898791.72991323</v>
      </c>
    </row>
    <row r="83" spans="2:8">
      <c r="B83" s="396">
        <f>IFERROR(IF(Loan_Not_Paid*Values_Entered,Payment_Number,""), "")</f>
        <v>66</v>
      </c>
      <c r="C83" s="395"/>
      <c r="D83" s="394">
        <f>IFERROR(IF(Loan_Not_Paid*Values_Entered,Beginning_Balance,""), "")</f>
        <v>186898791.72991323</v>
      </c>
      <c r="E83" s="394">
        <f>IFERROR(IF(Loan_Not_Paid*Values_Entered,Monthly_Payment,""), "")</f>
        <v>1270529.7872591855</v>
      </c>
      <c r="F83" s="394">
        <f>IFERROR(IF(Loan_Not_Paid*Values_Entered,Principal,""), "")</f>
        <v>258161.33205548959</v>
      </c>
      <c r="G83" s="394">
        <f>IFERROR(IF(Loan_Not_Paid*Values_Entered,Interest,""), "")</f>
        <v>1012368.4552036959</v>
      </c>
      <c r="H83" s="394">
        <f>IFERROR(IF(Loan_Not_Paid*Values_Entered,Ending_Balance,""), "")</f>
        <v>186640630.39785773</v>
      </c>
    </row>
    <row r="84" spans="2:8">
      <c r="B84" s="396">
        <f>IFERROR(IF(Loan_Not_Paid*Values_Entered,Payment_Number,""), "")</f>
        <v>67</v>
      </c>
      <c r="C84" s="395"/>
      <c r="D84" s="394">
        <f>IFERROR(IF(Loan_Not_Paid*Values_Entered,Beginning_Balance,""), "")</f>
        <v>186640630.39785773</v>
      </c>
      <c r="E84" s="394">
        <f>IFERROR(IF(Loan_Not_Paid*Values_Entered,Monthly_Payment,""), "")</f>
        <v>1270529.7872591855</v>
      </c>
      <c r="F84" s="394">
        <f>IFERROR(IF(Loan_Not_Paid*Values_Entered,Principal,""), "")</f>
        <v>259559.70593745683</v>
      </c>
      <c r="G84" s="394">
        <f>IFERROR(IF(Loan_Not_Paid*Values_Entered,Interest,""), "")</f>
        <v>1010970.0813217285</v>
      </c>
      <c r="H84" s="394">
        <f>IFERROR(IF(Loan_Not_Paid*Values_Entered,Ending_Balance,""), "")</f>
        <v>186381070.69192028</v>
      </c>
    </row>
    <row r="85" spans="2:8">
      <c r="B85" s="396">
        <f>IFERROR(IF(Loan_Not_Paid*Values_Entered,Payment_Number,""), "")</f>
        <v>68</v>
      </c>
      <c r="C85" s="395"/>
      <c r="D85" s="394">
        <f>IFERROR(IF(Loan_Not_Paid*Values_Entered,Beginning_Balance,""), "")</f>
        <v>186381070.69192028</v>
      </c>
      <c r="E85" s="394">
        <f>IFERROR(IF(Loan_Not_Paid*Values_Entered,Monthly_Payment,""), "")</f>
        <v>1270529.7872591855</v>
      </c>
      <c r="F85" s="394">
        <f>IFERROR(IF(Loan_Not_Paid*Values_Entered,Principal,""), "")</f>
        <v>260965.65434461806</v>
      </c>
      <c r="G85" s="394">
        <f>IFERROR(IF(Loan_Not_Paid*Values_Entered,Interest,""), "")</f>
        <v>1009564.1329145674</v>
      </c>
      <c r="H85" s="394">
        <f>IFERROR(IF(Loan_Not_Paid*Values_Entered,Ending_Balance,""), "")</f>
        <v>186120105.03757563</v>
      </c>
    </row>
    <row r="86" spans="2:8">
      <c r="B86" s="396">
        <f>IFERROR(IF(Loan_Not_Paid*Values_Entered,Payment_Number,""), "")</f>
        <v>69</v>
      </c>
      <c r="C86" s="395"/>
      <c r="D86" s="394">
        <f>IFERROR(IF(Loan_Not_Paid*Values_Entered,Beginning_Balance,""), "")</f>
        <v>186120105.03757563</v>
      </c>
      <c r="E86" s="394">
        <f>IFERROR(IF(Loan_Not_Paid*Values_Entered,Monthly_Payment,""), "")</f>
        <v>1270529.7872591855</v>
      </c>
      <c r="F86" s="394">
        <f>IFERROR(IF(Loan_Not_Paid*Values_Entered,Principal,""), "")</f>
        <v>262379.21830565133</v>
      </c>
      <c r="G86" s="394">
        <f>IFERROR(IF(Loan_Not_Paid*Values_Entered,Interest,""), "")</f>
        <v>1008150.5689535339</v>
      </c>
      <c r="H86" s="394">
        <f>IFERROR(IF(Loan_Not_Paid*Values_Entered,Ending_Balance,""), "")</f>
        <v>185857725.81927004</v>
      </c>
    </row>
    <row r="87" spans="2:8">
      <c r="B87" s="396">
        <f>IFERROR(IF(Loan_Not_Paid*Values_Entered,Payment_Number,""), "")</f>
        <v>70</v>
      </c>
      <c r="C87" s="395"/>
      <c r="D87" s="394">
        <f>IFERROR(IF(Loan_Not_Paid*Values_Entered,Beginning_Balance,""), "")</f>
        <v>185857725.81927004</v>
      </c>
      <c r="E87" s="394">
        <f>IFERROR(IF(Loan_Not_Paid*Values_Entered,Monthly_Payment,""), "")</f>
        <v>1270529.7872591855</v>
      </c>
      <c r="F87" s="394">
        <f>IFERROR(IF(Loan_Not_Paid*Values_Entered,Principal,""), "")</f>
        <v>263800.43907147367</v>
      </c>
      <c r="G87" s="394">
        <f>IFERROR(IF(Loan_Not_Paid*Values_Entered,Interest,""), "")</f>
        <v>1006729.3481877118</v>
      </c>
      <c r="H87" s="394">
        <f>IFERROR(IF(Loan_Not_Paid*Values_Entered,Ending_Balance,""), "")</f>
        <v>185593925.3801986</v>
      </c>
    </row>
    <row r="88" spans="2:8">
      <c r="B88" s="396">
        <f>IFERROR(IF(Loan_Not_Paid*Values_Entered,Payment_Number,""), "")</f>
        <v>71</v>
      </c>
      <c r="C88" s="395"/>
      <c r="D88" s="394">
        <f>IFERROR(IF(Loan_Not_Paid*Values_Entered,Beginning_Balance,""), "")</f>
        <v>185593925.3801986</v>
      </c>
      <c r="E88" s="394">
        <f>IFERROR(IF(Loan_Not_Paid*Values_Entered,Monthly_Payment,""), "")</f>
        <v>1270529.7872591855</v>
      </c>
      <c r="F88" s="394">
        <f>IFERROR(IF(Loan_Not_Paid*Values_Entered,Principal,""), "")</f>
        <v>265229.35811644414</v>
      </c>
      <c r="G88" s="394">
        <f>IFERROR(IF(Loan_Not_Paid*Values_Entered,Interest,""), "")</f>
        <v>1005300.4291427413</v>
      </c>
      <c r="H88" s="394">
        <f>IFERROR(IF(Loan_Not_Paid*Values_Entered,Ending_Balance,""), "")</f>
        <v>185328696.02208209</v>
      </c>
    </row>
    <row r="89" spans="2:8">
      <c r="B89" s="396">
        <f>IFERROR(IF(Loan_Not_Paid*Values_Entered,Payment_Number,""), "")</f>
        <v>72</v>
      </c>
      <c r="C89" s="395"/>
      <c r="D89" s="394">
        <f>IFERROR(IF(Loan_Not_Paid*Values_Entered,Beginning_Balance,""), "")</f>
        <v>185328696.02208209</v>
      </c>
      <c r="E89" s="394">
        <f>IFERROR(IF(Loan_Not_Paid*Values_Entered,Monthly_Payment,""), "")</f>
        <v>1270529.7872591855</v>
      </c>
      <c r="F89" s="394">
        <f>IFERROR(IF(Loan_Not_Paid*Values_Entered,Principal,""), "")</f>
        <v>266666.01713957492</v>
      </c>
      <c r="G89" s="394">
        <f>IFERROR(IF(Loan_Not_Paid*Values_Entered,Interest,""), "")</f>
        <v>1003863.7701196106</v>
      </c>
      <c r="H89" s="394">
        <f>IFERROR(IF(Loan_Not_Paid*Values_Entered,Ending_Balance,""), "")</f>
        <v>185062030.00494254</v>
      </c>
    </row>
    <row r="90" spans="2:8">
      <c r="B90" s="396">
        <f>IFERROR(IF(Loan_Not_Paid*Values_Entered,Payment_Number,""), "")</f>
        <v>73</v>
      </c>
      <c r="C90" s="395"/>
      <c r="D90" s="394">
        <f>IFERROR(IF(Loan_Not_Paid*Values_Entered,Beginning_Balance,""), "")</f>
        <v>185062030.00494254</v>
      </c>
      <c r="E90" s="394">
        <f>IFERROR(IF(Loan_Not_Paid*Values_Entered,Monthly_Payment,""), "")</f>
        <v>1270529.7872591855</v>
      </c>
      <c r="F90" s="394">
        <f>IFERROR(IF(Loan_Not_Paid*Values_Entered,Principal,""), "")</f>
        <v>268110.45806574763</v>
      </c>
      <c r="G90" s="394">
        <f>IFERROR(IF(Loan_Not_Paid*Values_Entered,Interest,""), "")</f>
        <v>1002419.3291934378</v>
      </c>
      <c r="H90" s="394">
        <f>IFERROR(IF(Loan_Not_Paid*Values_Entered,Ending_Balance,""), "")</f>
        <v>184793919.54687679</v>
      </c>
    </row>
    <row r="91" spans="2:8">
      <c r="B91" s="396">
        <f>IFERROR(IF(Loan_Not_Paid*Values_Entered,Payment_Number,""), "")</f>
        <v>74</v>
      </c>
      <c r="C91" s="395"/>
      <c r="D91" s="394">
        <f>IFERROR(IF(Loan_Not_Paid*Values_Entered,Beginning_Balance,""), "")</f>
        <v>184793919.54687679</v>
      </c>
      <c r="E91" s="394">
        <f>IFERROR(IF(Loan_Not_Paid*Values_Entered,Monthly_Payment,""), "")</f>
        <v>1270529.7872591855</v>
      </c>
      <c r="F91" s="394">
        <f>IFERROR(IF(Loan_Not_Paid*Values_Entered,Principal,""), "")</f>
        <v>269562.72304693703</v>
      </c>
      <c r="G91" s="394">
        <f>IFERROR(IF(Loan_Not_Paid*Values_Entered,Interest,""), "")</f>
        <v>1000967.0642122485</v>
      </c>
      <c r="H91" s="394">
        <f>IFERROR(IF(Loan_Not_Paid*Values_Entered,Ending_Balance,""), "")</f>
        <v>184524356.82382989</v>
      </c>
    </row>
    <row r="92" spans="2:8">
      <c r="B92" s="396">
        <f>IFERROR(IF(Loan_Not_Paid*Values_Entered,Payment_Number,""), "")</f>
        <v>75</v>
      </c>
      <c r="C92" s="395"/>
      <c r="D92" s="394">
        <f>IFERROR(IF(Loan_Not_Paid*Values_Entered,Beginning_Balance,""), "")</f>
        <v>184524356.82382989</v>
      </c>
      <c r="E92" s="394">
        <f>IFERROR(IF(Loan_Not_Paid*Values_Entered,Monthly_Payment,""), "")</f>
        <v>1270529.7872591855</v>
      </c>
      <c r="F92" s="394">
        <f>IFERROR(IF(Loan_Not_Paid*Values_Entered,Principal,""), "")</f>
        <v>271022.8544634413</v>
      </c>
      <c r="G92" s="394">
        <f>IFERROR(IF(Loan_Not_Paid*Values_Entered,Interest,""), "")</f>
        <v>999506.93279574416</v>
      </c>
      <c r="H92" s="394">
        <f>IFERROR(IF(Loan_Not_Paid*Values_Entered,Ending_Balance,""), "")</f>
        <v>184253333.9693664</v>
      </c>
    </row>
    <row r="93" spans="2:8">
      <c r="B93" s="396">
        <f>IFERROR(IF(Loan_Not_Paid*Values_Entered,Payment_Number,""), "")</f>
        <v>76</v>
      </c>
      <c r="C93" s="395"/>
      <c r="D93" s="394">
        <f>IFERROR(IF(Loan_Not_Paid*Values_Entered,Beginning_Balance,""), "")</f>
        <v>184253333.9693664</v>
      </c>
      <c r="E93" s="394">
        <f>IFERROR(IF(Loan_Not_Paid*Values_Entered,Monthly_Payment,""), "")</f>
        <v>1270529.7872591855</v>
      </c>
      <c r="F93" s="394">
        <f>IFERROR(IF(Loan_Not_Paid*Values_Entered,Principal,""), "")</f>
        <v>272490.89492511831</v>
      </c>
      <c r="G93" s="394">
        <f>IFERROR(IF(Loan_Not_Paid*Values_Entered,Interest,""), "")</f>
        <v>998038.89233406703</v>
      </c>
      <c r="H93" s="394">
        <f>IFERROR(IF(Loan_Not_Paid*Values_Entered,Ending_Balance,""), "")</f>
        <v>183980843.07444131</v>
      </c>
    </row>
    <row r="94" spans="2:8">
      <c r="B94" s="396">
        <f>IFERROR(IF(Loan_Not_Paid*Values_Entered,Payment_Number,""), "")</f>
        <v>77</v>
      </c>
      <c r="C94" s="395"/>
      <c r="D94" s="394">
        <f>IFERROR(IF(Loan_Not_Paid*Values_Entered,Beginning_Balance,""), "")</f>
        <v>183980843.07444131</v>
      </c>
      <c r="E94" s="394">
        <f>IFERROR(IF(Loan_Not_Paid*Values_Entered,Monthly_Payment,""), "")</f>
        <v>1270529.7872591855</v>
      </c>
      <c r="F94" s="394">
        <f>IFERROR(IF(Loan_Not_Paid*Values_Entered,Principal,""), "")</f>
        <v>273966.88727262936</v>
      </c>
      <c r="G94" s="394">
        <f>IFERROR(IF(Loan_Not_Paid*Values_Entered,Interest,""), "")</f>
        <v>996562.89998655603</v>
      </c>
      <c r="H94" s="394">
        <f>IFERROR(IF(Loan_Not_Paid*Values_Entered,Ending_Balance,""), "")</f>
        <v>183706876.18716869</v>
      </c>
    </row>
    <row r="95" spans="2:8">
      <c r="B95" s="396">
        <f>IFERROR(IF(Loan_Not_Paid*Values_Entered,Payment_Number,""), "")</f>
        <v>78</v>
      </c>
      <c r="C95" s="395"/>
      <c r="D95" s="394">
        <f>IFERROR(IF(Loan_Not_Paid*Values_Entered,Beginning_Balance,""), "")</f>
        <v>183706876.18716869</v>
      </c>
      <c r="E95" s="394">
        <f>IFERROR(IF(Loan_Not_Paid*Values_Entered,Monthly_Payment,""), "")</f>
        <v>1270529.7872591855</v>
      </c>
      <c r="F95" s="394">
        <f>IFERROR(IF(Loan_Not_Paid*Values_Entered,Principal,""), "")</f>
        <v>275450.8745786894</v>
      </c>
      <c r="G95" s="394">
        <f>IFERROR(IF(Loan_Not_Paid*Values_Entered,Interest,""), "")</f>
        <v>995078.912680496</v>
      </c>
      <c r="H95" s="394">
        <f>IFERROR(IF(Loan_Not_Paid*Values_Entered,Ending_Balance,""), "")</f>
        <v>183431425.31258997</v>
      </c>
    </row>
    <row r="96" spans="2:8">
      <c r="B96" s="396">
        <f>IFERROR(IF(Loan_Not_Paid*Values_Entered,Payment_Number,""), "")</f>
        <v>79</v>
      </c>
      <c r="C96" s="395"/>
      <c r="D96" s="394">
        <f>IFERROR(IF(Loan_Not_Paid*Values_Entered,Beginning_Balance,""), "")</f>
        <v>183431425.31258997</v>
      </c>
      <c r="E96" s="394">
        <f>IFERROR(IF(Loan_Not_Paid*Values_Entered,Monthly_Payment,""), "")</f>
        <v>1270529.7872591855</v>
      </c>
      <c r="F96" s="394">
        <f>IFERROR(IF(Loan_Not_Paid*Values_Entered,Principal,""), "")</f>
        <v>276942.90014932398</v>
      </c>
      <c r="G96" s="394">
        <f>IFERROR(IF(Loan_Not_Paid*Values_Entered,Interest,""), "")</f>
        <v>993586.88710986148</v>
      </c>
      <c r="H96" s="394">
        <f>IFERROR(IF(Loan_Not_Paid*Values_Entered,Ending_Balance,""), "")</f>
        <v>183154482.41244072</v>
      </c>
    </row>
    <row r="97" spans="2:8">
      <c r="B97" s="396">
        <f>IFERROR(IF(Loan_Not_Paid*Values_Entered,Payment_Number,""), "")</f>
        <v>80</v>
      </c>
      <c r="C97" s="395"/>
      <c r="D97" s="394">
        <f>IFERROR(IF(Loan_Not_Paid*Values_Entered,Beginning_Balance,""), "")</f>
        <v>183154482.41244072</v>
      </c>
      <c r="E97" s="394">
        <f>IFERROR(IF(Loan_Not_Paid*Values_Entered,Monthly_Payment,""), "")</f>
        <v>1270529.7872591855</v>
      </c>
      <c r="F97" s="394">
        <f>IFERROR(IF(Loan_Not_Paid*Values_Entered,Principal,""), "")</f>
        <v>278443.00752513279</v>
      </c>
      <c r="G97" s="394">
        <f>IFERROR(IF(Loan_Not_Paid*Values_Entered,Interest,""), "")</f>
        <v>992086.7797340526</v>
      </c>
      <c r="H97" s="394">
        <f>IFERROR(IF(Loan_Not_Paid*Values_Entered,Ending_Balance,""), "")</f>
        <v>182876039.40491557</v>
      </c>
    </row>
    <row r="98" spans="2:8">
      <c r="B98" s="396">
        <f>IFERROR(IF(Loan_Not_Paid*Values_Entered,Payment_Number,""), "")</f>
        <v>81</v>
      </c>
      <c r="C98" s="395"/>
      <c r="D98" s="394">
        <f>IFERROR(IF(Loan_Not_Paid*Values_Entered,Beginning_Balance,""), "")</f>
        <v>182876039.40491557</v>
      </c>
      <c r="E98" s="394">
        <f>IFERROR(IF(Loan_Not_Paid*Values_Entered,Monthly_Payment,""), "")</f>
        <v>1270529.7872591855</v>
      </c>
      <c r="F98" s="394">
        <f>IFERROR(IF(Loan_Not_Paid*Values_Entered,Principal,""), "")</f>
        <v>279951.24048256065</v>
      </c>
      <c r="G98" s="394">
        <f>IFERROR(IF(Loan_Not_Paid*Values_Entered,Interest,""), "")</f>
        <v>990578.54677662475</v>
      </c>
      <c r="H98" s="394">
        <f>IFERROR(IF(Loan_Not_Paid*Values_Entered,Ending_Balance,""), "")</f>
        <v>182596088.164433</v>
      </c>
    </row>
    <row r="99" spans="2:8">
      <c r="B99" s="396">
        <f>IFERROR(IF(Loan_Not_Paid*Values_Entered,Payment_Number,""), "")</f>
        <v>82</v>
      </c>
      <c r="C99" s="395"/>
      <c r="D99" s="394">
        <f>IFERROR(IF(Loan_Not_Paid*Values_Entered,Beginning_Balance,""), "")</f>
        <v>182596088.164433</v>
      </c>
      <c r="E99" s="394">
        <f>IFERROR(IF(Loan_Not_Paid*Values_Entered,Monthly_Payment,""), "")</f>
        <v>1270529.7872591855</v>
      </c>
      <c r="F99" s="394">
        <f>IFERROR(IF(Loan_Not_Paid*Values_Entered,Principal,""), "")</f>
        <v>281467.64303517452</v>
      </c>
      <c r="G99" s="394">
        <f>IFERROR(IF(Loan_Not_Paid*Values_Entered,Interest,""), "")</f>
        <v>989062.14422401099</v>
      </c>
      <c r="H99" s="394">
        <f>IFERROR(IF(Loan_Not_Paid*Values_Entered,Ending_Balance,""), "")</f>
        <v>182314620.52139783</v>
      </c>
    </row>
    <row r="100" spans="2:8">
      <c r="B100" s="396">
        <f>IFERROR(IF(Loan_Not_Paid*Values_Entered,Payment_Number,""), "")</f>
        <v>83</v>
      </c>
      <c r="C100" s="395"/>
      <c r="D100" s="394">
        <f>IFERROR(IF(Loan_Not_Paid*Values_Entered,Beginning_Balance,""), "")</f>
        <v>182314620.52139783</v>
      </c>
      <c r="E100" s="394">
        <f>IFERROR(IF(Loan_Not_Paid*Values_Entered,Monthly_Payment,""), "")</f>
        <v>1270529.7872591855</v>
      </c>
      <c r="F100" s="394">
        <f>IFERROR(IF(Loan_Not_Paid*Values_Entered,Principal,""), "")</f>
        <v>282992.25943494838</v>
      </c>
      <c r="G100" s="394">
        <f>IFERROR(IF(Loan_Not_Paid*Values_Entered,Interest,""), "")</f>
        <v>987537.52782423701</v>
      </c>
      <c r="H100" s="394">
        <f>IFERROR(IF(Loan_Not_Paid*Values_Entered,Ending_Balance,""), "")</f>
        <v>182031628.26196283</v>
      </c>
    </row>
    <row r="101" spans="2:8">
      <c r="B101" s="396">
        <f>IFERROR(IF(Loan_Not_Paid*Values_Entered,Payment_Number,""), "")</f>
        <v>84</v>
      </c>
      <c r="C101" s="395"/>
      <c r="D101" s="394">
        <f>IFERROR(IF(Loan_Not_Paid*Values_Entered,Beginning_Balance,""), "")</f>
        <v>182031628.26196283</v>
      </c>
      <c r="E101" s="394">
        <f>IFERROR(IF(Loan_Not_Paid*Values_Entered,Monthly_Payment,""), "")</f>
        <v>1270529.7872591855</v>
      </c>
      <c r="F101" s="394">
        <f>IFERROR(IF(Loan_Not_Paid*Values_Entered,Principal,""), "")</f>
        <v>284525.13417355425</v>
      </c>
      <c r="G101" s="394">
        <f>IFERROR(IF(Loan_Not_Paid*Values_Entered,Interest,""), "")</f>
        <v>986004.65308563109</v>
      </c>
      <c r="H101" s="394">
        <f>IFERROR(IF(Loan_Not_Paid*Values_Entered,Ending_Balance,""), "")</f>
        <v>181747103.12778938</v>
      </c>
    </row>
    <row r="102" spans="2:8">
      <c r="B102" s="396">
        <f>IFERROR(IF(Loan_Not_Paid*Values_Entered,Payment_Number,""), "")</f>
        <v>85</v>
      </c>
      <c r="C102" s="395"/>
      <c r="D102" s="394">
        <f>IFERROR(IF(Loan_Not_Paid*Values_Entered,Beginning_Balance,""), "")</f>
        <v>181747103.12778938</v>
      </c>
      <c r="E102" s="394">
        <f>IFERROR(IF(Loan_Not_Paid*Values_Entered,Monthly_Payment,""), "")</f>
        <v>1270529.7872591855</v>
      </c>
      <c r="F102" s="394">
        <f>IFERROR(IF(Loan_Not_Paid*Values_Entered,Principal,""), "")</f>
        <v>286066.31198366103</v>
      </c>
      <c r="G102" s="394">
        <f>IFERROR(IF(Loan_Not_Paid*Values_Entered,Interest,""), "")</f>
        <v>984463.47527552443</v>
      </c>
      <c r="H102" s="394">
        <f>IFERROR(IF(Loan_Not_Paid*Values_Entered,Ending_Balance,""), "")</f>
        <v>181461036.81580567</v>
      </c>
    </row>
    <row r="103" spans="2:8">
      <c r="B103" s="396">
        <f>IFERROR(IF(Loan_Not_Paid*Values_Entered,Payment_Number,""), "")</f>
        <v>86</v>
      </c>
      <c r="C103" s="395"/>
      <c r="D103" s="394">
        <f>IFERROR(IF(Loan_Not_Paid*Values_Entered,Beginning_Balance,""), "")</f>
        <v>181461036.81580567</v>
      </c>
      <c r="E103" s="394">
        <f>IFERROR(IF(Loan_Not_Paid*Values_Entered,Monthly_Payment,""), "")</f>
        <v>1270529.7872591855</v>
      </c>
      <c r="F103" s="394">
        <f>IFERROR(IF(Loan_Not_Paid*Values_Entered,Principal,""), "")</f>
        <v>287615.83784023923</v>
      </c>
      <c r="G103" s="394">
        <f>IFERROR(IF(Loan_Not_Paid*Values_Entered,Interest,""), "")</f>
        <v>982913.94941894617</v>
      </c>
      <c r="H103" s="394">
        <f>IFERROR(IF(Loan_Not_Paid*Values_Entered,Ending_Balance,""), "")</f>
        <v>181173420.97796544</v>
      </c>
    </row>
    <row r="104" spans="2:8">
      <c r="B104" s="396">
        <f>IFERROR(IF(Loan_Not_Paid*Values_Entered,Payment_Number,""), "")</f>
        <v>87</v>
      </c>
      <c r="C104" s="395"/>
      <c r="D104" s="394">
        <f>IFERROR(IF(Loan_Not_Paid*Values_Entered,Beginning_Balance,""), "")</f>
        <v>181173420.97796544</v>
      </c>
      <c r="E104" s="394">
        <f>IFERROR(IF(Loan_Not_Paid*Values_Entered,Monthly_Payment,""), "")</f>
        <v>1270529.7872591855</v>
      </c>
      <c r="F104" s="394">
        <f>IFERROR(IF(Loan_Not_Paid*Values_Entered,Principal,""), "")</f>
        <v>289173.75696187391</v>
      </c>
      <c r="G104" s="394">
        <f>IFERROR(IF(Loan_Not_Paid*Values_Entered,Interest,""), "")</f>
        <v>981356.0302973116</v>
      </c>
      <c r="H104" s="394">
        <f>IFERROR(IF(Loan_Not_Paid*Values_Entered,Ending_Balance,""), "")</f>
        <v>180884247.22100356</v>
      </c>
    </row>
    <row r="105" spans="2:8">
      <c r="B105" s="396">
        <f>IFERROR(IF(Loan_Not_Paid*Values_Entered,Payment_Number,""), "")</f>
        <v>88</v>
      </c>
      <c r="C105" s="395"/>
      <c r="D105" s="394">
        <f>IFERROR(IF(Loan_Not_Paid*Values_Entered,Beginning_Balance,""), "")</f>
        <v>180884247.22100356</v>
      </c>
      <c r="E105" s="394">
        <f>IFERROR(IF(Loan_Not_Paid*Values_Entered,Monthly_Payment,""), "")</f>
        <v>1270529.7872591855</v>
      </c>
      <c r="F105" s="394">
        <f>IFERROR(IF(Loan_Not_Paid*Values_Entered,Principal,""), "")</f>
        <v>290740.11481208407</v>
      </c>
      <c r="G105" s="394">
        <f>IFERROR(IF(Loan_Not_Paid*Values_Entered,Interest,""), "")</f>
        <v>979789.67244710133</v>
      </c>
      <c r="H105" s="394">
        <f>IFERROR(IF(Loan_Not_Paid*Values_Entered,Ending_Balance,""), "")</f>
        <v>180593507.10619149</v>
      </c>
    </row>
    <row r="106" spans="2:8">
      <c r="B106" s="396">
        <f>IFERROR(IF(Loan_Not_Paid*Values_Entered,Payment_Number,""), "")</f>
        <v>89</v>
      </c>
      <c r="C106" s="395"/>
      <c r="D106" s="394">
        <f>IFERROR(IF(Loan_Not_Paid*Values_Entered,Beginning_Balance,""), "")</f>
        <v>180593507.10619149</v>
      </c>
      <c r="E106" s="394">
        <f>IFERROR(IF(Loan_Not_Paid*Values_Entered,Monthly_Payment,""), "")</f>
        <v>1270529.7872591855</v>
      </c>
      <c r="F106" s="394">
        <f>IFERROR(IF(Loan_Not_Paid*Values_Entered,Principal,""), "")</f>
        <v>292314.95710064948</v>
      </c>
      <c r="G106" s="394">
        <f>IFERROR(IF(Loan_Not_Paid*Values_Entered,Interest,""), "")</f>
        <v>978214.83015853597</v>
      </c>
      <c r="H106" s="394">
        <f>IFERROR(IF(Loan_Not_Paid*Values_Entered,Ending_Balance,""), "")</f>
        <v>180301192.14909086</v>
      </c>
    </row>
    <row r="107" spans="2:8">
      <c r="B107" s="396">
        <f>IFERROR(IF(Loan_Not_Paid*Values_Entered,Payment_Number,""), "")</f>
        <v>90</v>
      </c>
      <c r="C107" s="395"/>
      <c r="D107" s="394">
        <f>IFERROR(IF(Loan_Not_Paid*Values_Entered,Beginning_Balance,""), "")</f>
        <v>180301192.14909086</v>
      </c>
      <c r="E107" s="394">
        <f>IFERROR(IF(Loan_Not_Paid*Values_Entered,Monthly_Payment,""), "")</f>
        <v>1270529.7872591855</v>
      </c>
      <c r="F107" s="394">
        <f>IFERROR(IF(Loan_Not_Paid*Values_Entered,Principal,""), "")</f>
        <v>293898.32978494465</v>
      </c>
      <c r="G107" s="394">
        <f>IFERROR(IF(Loan_Not_Paid*Values_Entered,Interest,""), "")</f>
        <v>976631.45747424068</v>
      </c>
      <c r="H107" s="394">
        <f>IFERROR(IF(Loan_Not_Paid*Values_Entered,Ending_Balance,""), "")</f>
        <v>180007293.8193059</v>
      </c>
    </row>
    <row r="108" spans="2:8">
      <c r="B108" s="396">
        <f>IFERROR(IF(Loan_Not_Paid*Values_Entered,Payment_Number,""), "")</f>
        <v>91</v>
      </c>
      <c r="C108" s="395"/>
      <c r="D108" s="394">
        <f>IFERROR(IF(Loan_Not_Paid*Values_Entered,Beginning_Balance,""), "")</f>
        <v>180007293.8193059</v>
      </c>
      <c r="E108" s="394">
        <f>IFERROR(IF(Loan_Not_Paid*Values_Entered,Monthly_Payment,""), "")</f>
        <v>1270529.7872591855</v>
      </c>
      <c r="F108" s="394">
        <f>IFERROR(IF(Loan_Not_Paid*Values_Entered,Principal,""), "")</f>
        <v>295490.2790712798</v>
      </c>
      <c r="G108" s="394">
        <f>IFERROR(IF(Loan_Not_Paid*Values_Entered,Interest,""), "")</f>
        <v>975039.50818790554</v>
      </c>
      <c r="H108" s="394">
        <f>IFERROR(IF(Loan_Not_Paid*Values_Entered,Ending_Balance,""), "")</f>
        <v>179711803.54023463</v>
      </c>
    </row>
    <row r="109" spans="2:8">
      <c r="B109" s="396">
        <f>IFERROR(IF(Loan_Not_Paid*Values_Entered,Payment_Number,""), "")</f>
        <v>92</v>
      </c>
      <c r="C109" s="395"/>
      <c r="D109" s="394">
        <f>IFERROR(IF(Loan_Not_Paid*Values_Entered,Beginning_Balance,""), "")</f>
        <v>179711803.54023463</v>
      </c>
      <c r="E109" s="394">
        <f>IFERROR(IF(Loan_Not_Paid*Values_Entered,Monthly_Payment,""), "")</f>
        <v>1270529.7872591855</v>
      </c>
      <c r="F109" s="394">
        <f>IFERROR(IF(Loan_Not_Paid*Values_Entered,Principal,""), "")</f>
        <v>297090.85141624924</v>
      </c>
      <c r="G109" s="394">
        <f>IFERROR(IF(Loan_Not_Paid*Values_Entered,Interest,""), "")</f>
        <v>973438.93584293616</v>
      </c>
      <c r="H109" s="394">
        <f>IFERROR(IF(Loan_Not_Paid*Values_Entered,Ending_Balance,""), "")</f>
        <v>179414712.68881837</v>
      </c>
    </row>
    <row r="110" spans="2:8">
      <c r="B110" s="396">
        <f>IFERROR(IF(Loan_Not_Paid*Values_Entered,Payment_Number,""), "")</f>
        <v>93</v>
      </c>
      <c r="C110" s="395"/>
      <c r="D110" s="394">
        <f>IFERROR(IF(Loan_Not_Paid*Values_Entered,Beginning_Balance,""), "")</f>
        <v>179414712.68881837</v>
      </c>
      <c r="E110" s="394">
        <f>IFERROR(IF(Loan_Not_Paid*Values_Entered,Monthly_Payment,""), "")</f>
        <v>1270529.7872591855</v>
      </c>
      <c r="F110" s="394">
        <f>IFERROR(IF(Loan_Not_Paid*Values_Entered,Principal,""), "")</f>
        <v>298700.09352808719</v>
      </c>
      <c r="G110" s="394">
        <f>IFERROR(IF(Loan_Not_Paid*Values_Entered,Interest,""), "")</f>
        <v>971829.6937310982</v>
      </c>
      <c r="H110" s="394">
        <f>IFERROR(IF(Loan_Not_Paid*Values_Entered,Ending_Balance,""), "")</f>
        <v>179116012.59529027</v>
      </c>
    </row>
    <row r="111" spans="2:8">
      <c r="B111" s="396">
        <f>IFERROR(IF(Loan_Not_Paid*Values_Entered,Payment_Number,""), "")</f>
        <v>94</v>
      </c>
      <c r="C111" s="395"/>
      <c r="D111" s="394">
        <f>IFERROR(IF(Loan_Not_Paid*Values_Entered,Beginning_Balance,""), "")</f>
        <v>179116012.59529027</v>
      </c>
      <c r="E111" s="394">
        <f>IFERROR(IF(Loan_Not_Paid*Values_Entered,Monthly_Payment,""), "")</f>
        <v>1270529.7872591855</v>
      </c>
      <c r="F111" s="394">
        <f>IFERROR(IF(Loan_Not_Paid*Values_Entered,Principal,""), "")</f>
        <v>300318.05236803106</v>
      </c>
      <c r="G111" s="394">
        <f>IFERROR(IF(Loan_Not_Paid*Values_Entered,Interest,""), "")</f>
        <v>970211.73489115434</v>
      </c>
      <c r="H111" s="394">
        <f>IFERROR(IF(Loan_Not_Paid*Values_Entered,Ending_Balance,""), "")</f>
        <v>178815694.54292226</v>
      </c>
    </row>
    <row r="112" spans="2:8">
      <c r="B112" s="396">
        <f>IFERROR(IF(Loan_Not_Paid*Values_Entered,Payment_Number,""), "")</f>
        <v>95</v>
      </c>
      <c r="C112" s="395"/>
      <c r="D112" s="394">
        <f>IFERROR(IF(Loan_Not_Paid*Values_Entered,Beginning_Balance,""), "")</f>
        <v>178815694.54292226</v>
      </c>
      <c r="E112" s="394">
        <f>IFERROR(IF(Loan_Not_Paid*Values_Entered,Monthly_Payment,""), "")</f>
        <v>1270529.7872591855</v>
      </c>
      <c r="F112" s="394">
        <f>IFERROR(IF(Loan_Not_Paid*Values_Entered,Principal,""), "")</f>
        <v>301944.77515169117</v>
      </c>
      <c r="G112" s="394">
        <f>IFERROR(IF(Loan_Not_Paid*Values_Entered,Interest,""), "")</f>
        <v>968585.01210749417</v>
      </c>
      <c r="H112" s="394">
        <f>IFERROR(IF(Loan_Not_Paid*Values_Entered,Ending_Balance,""), "")</f>
        <v>178513749.76777059</v>
      </c>
    </row>
    <row r="113" spans="2:8">
      <c r="B113" s="396">
        <f>IFERROR(IF(Loan_Not_Paid*Values_Entered,Payment_Number,""), "")</f>
        <v>96</v>
      </c>
      <c r="C113" s="395"/>
      <c r="D113" s="394">
        <f>IFERROR(IF(Loan_Not_Paid*Values_Entered,Beginning_Balance,""), "")</f>
        <v>178513749.76777059</v>
      </c>
      <c r="E113" s="394">
        <f>IFERROR(IF(Loan_Not_Paid*Values_Entered,Monthly_Payment,""), "")</f>
        <v>1270529.7872591855</v>
      </c>
      <c r="F113" s="394">
        <f>IFERROR(IF(Loan_Not_Paid*Values_Entered,Principal,""), "")</f>
        <v>303580.30935042951</v>
      </c>
      <c r="G113" s="394">
        <f>IFERROR(IF(Loan_Not_Paid*Values_Entered,Interest,""), "")</f>
        <v>966949.47790875589</v>
      </c>
      <c r="H113" s="394">
        <f>IFERROR(IF(Loan_Not_Paid*Values_Entered,Ending_Balance,""), "")</f>
        <v>178210169.45842019</v>
      </c>
    </row>
    <row r="114" spans="2:8">
      <c r="B114" s="396">
        <f>IFERROR(IF(Loan_Not_Paid*Values_Entered,Payment_Number,""), "")</f>
        <v>97</v>
      </c>
      <c r="C114" s="395"/>
      <c r="D114" s="394">
        <f>IFERROR(IF(Loan_Not_Paid*Values_Entered,Beginning_Balance,""), "")</f>
        <v>178210169.45842019</v>
      </c>
      <c r="E114" s="394">
        <f>IFERROR(IF(Loan_Not_Paid*Values_Entered,Monthly_Payment,""), "")</f>
        <v>1270529.7872591855</v>
      </c>
      <c r="F114" s="394">
        <f>IFERROR(IF(Loan_Not_Paid*Values_Entered,Principal,""), "")</f>
        <v>305224.70269274438</v>
      </c>
      <c r="G114" s="394">
        <f>IFERROR(IF(Loan_Not_Paid*Values_Entered,Interest,""), "")</f>
        <v>965305.08456644113</v>
      </c>
      <c r="H114" s="394">
        <f>IFERROR(IF(Loan_Not_Paid*Values_Entered,Ending_Balance,""), "")</f>
        <v>177904944.75572747</v>
      </c>
    </row>
    <row r="115" spans="2:8">
      <c r="B115" s="396">
        <f>IFERROR(IF(Loan_Not_Paid*Values_Entered,Payment_Number,""), "")</f>
        <v>98</v>
      </c>
      <c r="C115" s="395"/>
      <c r="D115" s="394">
        <f>IFERROR(IF(Loan_Not_Paid*Values_Entered,Beginning_Balance,""), "")</f>
        <v>177904944.75572747</v>
      </c>
      <c r="E115" s="394">
        <f>IFERROR(IF(Loan_Not_Paid*Values_Entered,Monthly_Payment,""), "")</f>
        <v>1270529.7872591855</v>
      </c>
      <c r="F115" s="394">
        <f>IFERROR(IF(Loan_Not_Paid*Values_Entered,Principal,""), "")</f>
        <v>306878.00316566339</v>
      </c>
      <c r="G115" s="394">
        <f>IFERROR(IF(Loan_Not_Paid*Values_Entered,Interest,""), "")</f>
        <v>963651.784093522</v>
      </c>
      <c r="H115" s="394">
        <f>IFERROR(IF(Loan_Not_Paid*Values_Entered,Ending_Balance,""), "")</f>
        <v>177598066.75256175</v>
      </c>
    </row>
    <row r="116" spans="2:8">
      <c r="B116" s="396">
        <f>IFERROR(IF(Loan_Not_Paid*Values_Entered,Payment_Number,""), "")</f>
        <v>99</v>
      </c>
      <c r="C116" s="395"/>
      <c r="D116" s="394">
        <f>IFERROR(IF(Loan_Not_Paid*Values_Entered,Beginning_Balance,""), "")</f>
        <v>177598066.75256175</v>
      </c>
      <c r="E116" s="394">
        <f>IFERROR(IF(Loan_Not_Paid*Values_Entered,Monthly_Payment,""), "")</f>
        <v>1270529.7872591855</v>
      </c>
      <c r="F116" s="394">
        <f>IFERROR(IF(Loan_Not_Paid*Values_Entered,Principal,""), "")</f>
        <v>308540.25901614403</v>
      </c>
      <c r="G116" s="394">
        <f>IFERROR(IF(Loan_Not_Paid*Values_Entered,Interest,""), "")</f>
        <v>961989.52824304136</v>
      </c>
      <c r="H116" s="394">
        <f>IFERROR(IF(Loan_Not_Paid*Values_Entered,Ending_Balance,""), "")</f>
        <v>177289526.49354565</v>
      </c>
    </row>
    <row r="117" spans="2:8">
      <c r="B117" s="396">
        <f>IFERROR(IF(Loan_Not_Paid*Values_Entered,Payment_Number,""), "")</f>
        <v>100</v>
      </c>
      <c r="C117" s="395"/>
      <c r="D117" s="394">
        <f>IFERROR(IF(Loan_Not_Paid*Values_Entered,Beginning_Balance,""), "")</f>
        <v>177289526.49354565</v>
      </c>
      <c r="E117" s="394">
        <f>IFERROR(IF(Loan_Not_Paid*Values_Entered,Monthly_Payment,""), "")</f>
        <v>1270529.7872591855</v>
      </c>
      <c r="F117" s="394">
        <f>IFERROR(IF(Loan_Not_Paid*Values_Entered,Principal,""), "")</f>
        <v>310211.5187524815</v>
      </c>
      <c r="G117" s="394">
        <f>IFERROR(IF(Loan_Not_Paid*Values_Entered,Interest,""), "")</f>
        <v>960318.2685067039</v>
      </c>
      <c r="H117" s="394">
        <f>IFERROR(IF(Loan_Not_Paid*Values_Entered,Ending_Balance,""), "")</f>
        <v>176979314.97479314</v>
      </c>
    </row>
    <row r="118" spans="2:8">
      <c r="B118" s="396">
        <f>IFERROR(IF(Loan_Not_Paid*Values_Entered,Payment_Number,""), "")</f>
        <v>101</v>
      </c>
      <c r="C118" s="395"/>
      <c r="D118" s="394">
        <f>IFERROR(IF(Loan_Not_Paid*Values_Entered,Beginning_Balance,""), "")</f>
        <v>176979314.97479314</v>
      </c>
      <c r="E118" s="394">
        <f>IFERROR(IF(Loan_Not_Paid*Values_Entered,Monthly_Payment,""), "")</f>
        <v>1270529.7872591855</v>
      </c>
      <c r="F118" s="394">
        <f>IFERROR(IF(Loan_Not_Paid*Values_Entered,Principal,""), "")</f>
        <v>311891.83114572417</v>
      </c>
      <c r="G118" s="394">
        <f>IFERROR(IF(Loan_Not_Paid*Values_Entered,Interest,""), "")</f>
        <v>958637.95611346141</v>
      </c>
      <c r="H118" s="394">
        <f>IFERROR(IF(Loan_Not_Paid*Values_Entered,Ending_Balance,""), "")</f>
        <v>176667423.1436474</v>
      </c>
    </row>
    <row r="119" spans="2:8">
      <c r="B119" s="396">
        <f>IFERROR(IF(Loan_Not_Paid*Values_Entered,Payment_Number,""), "")</f>
        <v>102</v>
      </c>
      <c r="C119" s="395"/>
      <c r="D119" s="394">
        <f>IFERROR(IF(Loan_Not_Paid*Values_Entered,Beginning_Balance,""), "")</f>
        <v>176667423.1436474</v>
      </c>
      <c r="E119" s="394">
        <f>IFERROR(IF(Loan_Not_Paid*Values_Entered,Monthly_Payment,""), "")</f>
        <v>1270529.7872591855</v>
      </c>
      <c r="F119" s="394">
        <f>IFERROR(IF(Loan_Not_Paid*Values_Entered,Principal,""), "")</f>
        <v>313581.24523109681</v>
      </c>
      <c r="G119" s="394">
        <f>IFERROR(IF(Loan_Not_Paid*Values_Entered,Interest,""), "")</f>
        <v>956948.54202808847</v>
      </c>
      <c r="H119" s="394">
        <f>IFERROR(IF(Loan_Not_Paid*Values_Entered,Ending_Balance,""), "")</f>
        <v>176353841.89841631</v>
      </c>
    </row>
    <row r="120" spans="2:8">
      <c r="B120" s="396">
        <f>IFERROR(IF(Loan_Not_Paid*Values_Entered,Payment_Number,""), "")</f>
        <v>103</v>
      </c>
      <c r="C120" s="395"/>
      <c r="D120" s="394">
        <f>IFERROR(IF(Loan_Not_Paid*Values_Entered,Beginning_Balance,""), "")</f>
        <v>176353841.89841631</v>
      </c>
      <c r="E120" s="394">
        <f>IFERROR(IF(Loan_Not_Paid*Values_Entered,Monthly_Payment,""), "")</f>
        <v>1270529.7872591855</v>
      </c>
      <c r="F120" s="394">
        <f>IFERROR(IF(Loan_Not_Paid*Values_Entered,Principal,""), "")</f>
        <v>315279.81030943186</v>
      </c>
      <c r="G120" s="394">
        <f>IFERROR(IF(Loan_Not_Paid*Values_Entered,Interest,""), "")</f>
        <v>955249.97694975359</v>
      </c>
      <c r="H120" s="394">
        <f>IFERROR(IF(Loan_Not_Paid*Values_Entered,Ending_Balance,""), "")</f>
        <v>176038562.08810693</v>
      </c>
    </row>
    <row r="121" spans="2:8">
      <c r="B121" s="396">
        <f>IFERROR(IF(Loan_Not_Paid*Values_Entered,Payment_Number,""), "")</f>
        <v>104</v>
      </c>
      <c r="C121" s="395"/>
      <c r="D121" s="394">
        <f>IFERROR(IF(Loan_Not_Paid*Values_Entered,Beginning_Balance,""), "")</f>
        <v>176038562.08810693</v>
      </c>
      <c r="E121" s="394">
        <f>IFERROR(IF(Loan_Not_Paid*Values_Entered,Monthly_Payment,""), "")</f>
        <v>1270529.7872591855</v>
      </c>
      <c r="F121" s="394">
        <f>IFERROR(IF(Loan_Not_Paid*Values_Entered,Principal,""), "")</f>
        <v>316987.57594860799</v>
      </c>
      <c r="G121" s="394">
        <f>IFERROR(IF(Loan_Not_Paid*Values_Entered,Interest,""), "")</f>
        <v>953542.21131057746</v>
      </c>
      <c r="H121" s="394">
        <f>IFERROR(IF(Loan_Not_Paid*Values_Entered,Ending_Balance,""), "")</f>
        <v>175721574.51215833</v>
      </c>
    </row>
    <row r="122" spans="2:8">
      <c r="B122" s="396">
        <f>IFERROR(IF(Loan_Not_Paid*Values_Entered,Payment_Number,""), "")</f>
        <v>105</v>
      </c>
      <c r="C122" s="395"/>
      <c r="D122" s="394">
        <f>IFERROR(IF(Loan_Not_Paid*Values_Entered,Beginning_Balance,""), "")</f>
        <v>175721574.51215833</v>
      </c>
      <c r="E122" s="394">
        <f>IFERROR(IF(Loan_Not_Paid*Values_Entered,Monthly_Payment,""), "")</f>
        <v>1270529.7872591855</v>
      </c>
      <c r="F122" s="394">
        <f>IFERROR(IF(Loan_Not_Paid*Values_Entered,Principal,""), "")</f>
        <v>318704.59198499628</v>
      </c>
      <c r="G122" s="394">
        <f>IFERROR(IF(Loan_Not_Paid*Values_Entered,Interest,""), "")</f>
        <v>951825.19527418911</v>
      </c>
      <c r="H122" s="394">
        <f>IFERROR(IF(Loan_Not_Paid*Values_Entered,Ending_Balance,""), "")</f>
        <v>175402869.92017335</v>
      </c>
    </row>
    <row r="123" spans="2:8">
      <c r="B123" s="396">
        <f>IFERROR(IF(Loan_Not_Paid*Values_Entered,Payment_Number,""), "")</f>
        <v>106</v>
      </c>
      <c r="C123" s="395"/>
      <c r="D123" s="394">
        <f>IFERROR(IF(Loan_Not_Paid*Values_Entered,Beginning_Balance,""), "")</f>
        <v>175402869.92017335</v>
      </c>
      <c r="E123" s="394">
        <f>IFERROR(IF(Loan_Not_Paid*Values_Entered,Monthly_Payment,""), "")</f>
        <v>1270529.7872591855</v>
      </c>
      <c r="F123" s="394">
        <f>IFERROR(IF(Loan_Not_Paid*Values_Entered,Principal,""), "")</f>
        <v>320430.90852491505</v>
      </c>
      <c r="G123" s="394">
        <f>IFERROR(IF(Loan_Not_Paid*Values_Entered,Interest,""), "")</f>
        <v>950098.87873427034</v>
      </c>
      <c r="H123" s="394">
        <f>IFERROR(IF(Loan_Not_Paid*Values_Entered,Ending_Balance,""), "")</f>
        <v>175082439.01164839</v>
      </c>
    </row>
    <row r="124" spans="2:8">
      <c r="B124" s="396">
        <f>IFERROR(IF(Loan_Not_Paid*Values_Entered,Payment_Number,""), "")</f>
        <v>107</v>
      </c>
      <c r="C124" s="395"/>
      <c r="D124" s="394">
        <f>IFERROR(IF(Loan_Not_Paid*Values_Entered,Beginning_Balance,""), "")</f>
        <v>175082439.01164839</v>
      </c>
      <c r="E124" s="394">
        <f>IFERROR(IF(Loan_Not_Paid*Values_Entered,Monthly_Payment,""), "")</f>
        <v>1270529.7872591855</v>
      </c>
      <c r="F124" s="394">
        <f>IFERROR(IF(Loan_Not_Paid*Values_Entered,Principal,""), "")</f>
        <v>322166.57594609167</v>
      </c>
      <c r="G124" s="394">
        <f>IFERROR(IF(Loan_Not_Paid*Values_Entered,Interest,""), "")</f>
        <v>948363.21131309366</v>
      </c>
      <c r="H124" s="394">
        <f>IFERROR(IF(Loan_Not_Paid*Values_Entered,Ending_Balance,""), "")</f>
        <v>174760272.43570232</v>
      </c>
    </row>
    <row r="125" spans="2:8">
      <c r="B125" s="396">
        <f>IFERROR(IF(Loan_Not_Paid*Values_Entered,Payment_Number,""), "")</f>
        <v>108</v>
      </c>
      <c r="C125" s="395"/>
      <c r="D125" s="394">
        <f>IFERROR(IF(Loan_Not_Paid*Values_Entered,Beginning_Balance,""), "")</f>
        <v>174760272.43570232</v>
      </c>
      <c r="E125" s="394">
        <f>IFERROR(IF(Loan_Not_Paid*Values_Entered,Monthly_Payment,""), "")</f>
        <v>1270529.7872591855</v>
      </c>
      <c r="F125" s="394">
        <f>IFERROR(IF(Loan_Not_Paid*Values_Entered,Principal,""), "")</f>
        <v>323911.64489913295</v>
      </c>
      <c r="G125" s="394">
        <f>IFERROR(IF(Loan_Not_Paid*Values_Entered,Interest,""), "")</f>
        <v>946618.14236005233</v>
      </c>
      <c r="H125" s="394">
        <f>IFERROR(IF(Loan_Not_Paid*Values_Entered,Ending_Balance,""), "")</f>
        <v>174436360.79080319</v>
      </c>
    </row>
    <row r="126" spans="2:8">
      <c r="B126" s="396">
        <f>IFERROR(IF(Loan_Not_Paid*Values_Entered,Payment_Number,""), "")</f>
        <v>109</v>
      </c>
      <c r="C126" s="395"/>
      <c r="D126" s="394">
        <f>IFERROR(IF(Loan_Not_Paid*Values_Entered,Beginning_Balance,""), "")</f>
        <v>174436360.79080319</v>
      </c>
      <c r="E126" s="394">
        <f>IFERROR(IF(Loan_Not_Paid*Values_Entered,Monthly_Payment,""), "")</f>
        <v>1270529.7872591855</v>
      </c>
      <c r="F126" s="394">
        <f>IFERROR(IF(Loan_Not_Paid*Values_Entered,Principal,""), "")</f>
        <v>325666.16630900325</v>
      </c>
      <c r="G126" s="394">
        <f>IFERROR(IF(Loan_Not_Paid*Values_Entered,Interest,""), "")</f>
        <v>944863.62095018208</v>
      </c>
      <c r="H126" s="394">
        <f>IFERROR(IF(Loan_Not_Paid*Values_Entered,Ending_Balance,""), "")</f>
        <v>174110694.62449419</v>
      </c>
    </row>
    <row r="127" spans="2:8">
      <c r="B127" s="396">
        <f>IFERROR(IF(Loan_Not_Paid*Values_Entered,Payment_Number,""), "")</f>
        <v>110</v>
      </c>
      <c r="C127" s="395"/>
      <c r="D127" s="394">
        <f>IFERROR(IF(Loan_Not_Paid*Values_Entered,Beginning_Balance,""), "")</f>
        <v>174110694.62449419</v>
      </c>
      <c r="E127" s="394">
        <f>IFERROR(IF(Loan_Not_Paid*Values_Entered,Monthly_Payment,""), "")</f>
        <v>1270529.7872591855</v>
      </c>
      <c r="F127" s="394">
        <f>IFERROR(IF(Loan_Not_Paid*Values_Entered,Principal,""), "")</f>
        <v>327430.19137651037</v>
      </c>
      <c r="G127" s="394">
        <f>IFERROR(IF(Loan_Not_Paid*Values_Entered,Interest,""), "")</f>
        <v>943099.59588267503</v>
      </c>
      <c r="H127" s="394">
        <f>IFERROR(IF(Loan_Not_Paid*Values_Entered,Ending_Balance,""), "")</f>
        <v>173783264.43311769</v>
      </c>
    </row>
    <row r="128" spans="2:8">
      <c r="B128" s="396">
        <f>IFERROR(IF(Loan_Not_Paid*Values_Entered,Payment_Number,""), "")</f>
        <v>111</v>
      </c>
      <c r="C128" s="395"/>
      <c r="D128" s="394">
        <f>IFERROR(IF(Loan_Not_Paid*Values_Entered,Beginning_Balance,""), "")</f>
        <v>173783264.43311769</v>
      </c>
      <c r="E128" s="394">
        <f>IFERROR(IF(Loan_Not_Paid*Values_Entered,Monthly_Payment,""), "")</f>
        <v>1270529.7872591855</v>
      </c>
      <c r="F128" s="394">
        <f>IFERROR(IF(Loan_Not_Paid*Values_Entered,Principal,""), "")</f>
        <v>329203.77157979982</v>
      </c>
      <c r="G128" s="394">
        <f>IFERROR(IF(Loan_Not_Paid*Values_Entered,Interest,""), "")</f>
        <v>941326.01567938551</v>
      </c>
      <c r="H128" s="394">
        <f>IFERROR(IF(Loan_Not_Paid*Values_Entered,Ending_Balance,""), "")</f>
        <v>173454060.66153789</v>
      </c>
    </row>
    <row r="129" spans="2:8">
      <c r="B129" s="396">
        <f>IFERROR(IF(Loan_Not_Paid*Values_Entered,Payment_Number,""), "")</f>
        <v>112</v>
      </c>
      <c r="C129" s="395"/>
      <c r="D129" s="394">
        <f>IFERROR(IF(Loan_Not_Paid*Values_Entered,Beginning_Balance,""), "")</f>
        <v>173454060.66153789</v>
      </c>
      <c r="E129" s="394">
        <f>IFERROR(IF(Loan_Not_Paid*Values_Entered,Monthly_Payment,""), "")</f>
        <v>1270529.7872591855</v>
      </c>
      <c r="F129" s="394">
        <f>IFERROR(IF(Loan_Not_Paid*Values_Entered,Principal,""), "")</f>
        <v>330986.95867585711</v>
      </c>
      <c r="G129" s="394">
        <f>IFERROR(IF(Loan_Not_Paid*Values_Entered,Interest,""), "")</f>
        <v>939542.82858332829</v>
      </c>
      <c r="H129" s="394">
        <f>IFERROR(IF(Loan_Not_Paid*Values_Entered,Ending_Balance,""), "")</f>
        <v>173123073.70286202</v>
      </c>
    </row>
    <row r="130" spans="2:8">
      <c r="B130" s="396">
        <f>IFERROR(IF(Loan_Not_Paid*Values_Entered,Payment_Number,""), "")</f>
        <v>113</v>
      </c>
      <c r="C130" s="395"/>
      <c r="D130" s="394">
        <f>IFERROR(IF(Loan_Not_Paid*Values_Entered,Beginning_Balance,""), "")</f>
        <v>173123073.70286202</v>
      </c>
      <c r="E130" s="394">
        <f>IFERROR(IF(Loan_Not_Paid*Values_Entered,Monthly_Payment,""), "")</f>
        <v>1270529.7872591855</v>
      </c>
      <c r="F130" s="394">
        <f>IFERROR(IF(Loan_Not_Paid*Values_Entered,Principal,""), "")</f>
        <v>332779.80470201792</v>
      </c>
      <c r="G130" s="394">
        <f>IFERROR(IF(Loan_Not_Paid*Values_Entered,Interest,""), "")</f>
        <v>937749.98255716753</v>
      </c>
      <c r="H130" s="394">
        <f>IFERROR(IF(Loan_Not_Paid*Values_Entered,Ending_Balance,""), "")</f>
        <v>172790293.89816007</v>
      </c>
    </row>
    <row r="131" spans="2:8">
      <c r="B131" s="396">
        <f>IFERROR(IF(Loan_Not_Paid*Values_Entered,Payment_Number,""), "")</f>
        <v>114</v>
      </c>
      <c r="C131" s="395"/>
      <c r="D131" s="394">
        <f>IFERROR(IF(Loan_Not_Paid*Values_Entered,Beginning_Balance,""), "")</f>
        <v>172790293.89816007</v>
      </c>
      <c r="E131" s="394">
        <f>IFERROR(IF(Loan_Not_Paid*Values_Entered,Monthly_Payment,""), "")</f>
        <v>1270529.7872591855</v>
      </c>
      <c r="F131" s="394">
        <f>IFERROR(IF(Loan_Not_Paid*Values_Entered,Principal,""), "")</f>
        <v>334582.36197748716</v>
      </c>
      <c r="G131" s="394">
        <f>IFERROR(IF(Loan_Not_Paid*Values_Entered,Interest,""), "")</f>
        <v>935947.42528169835</v>
      </c>
      <c r="H131" s="394">
        <f>IFERROR(IF(Loan_Not_Paid*Values_Entered,Ending_Balance,""), "")</f>
        <v>172455711.53618255</v>
      </c>
    </row>
    <row r="132" spans="2:8">
      <c r="B132" s="396">
        <f>IFERROR(IF(Loan_Not_Paid*Values_Entered,Payment_Number,""), "")</f>
        <v>115</v>
      </c>
      <c r="C132" s="395"/>
      <c r="D132" s="394">
        <f>IFERROR(IF(Loan_Not_Paid*Values_Entered,Beginning_Balance,""), "")</f>
        <v>172455711.53618255</v>
      </c>
      <c r="E132" s="394">
        <f>IFERROR(IF(Loan_Not_Paid*Values_Entered,Monthly_Payment,""), "")</f>
        <v>1270529.7872591855</v>
      </c>
      <c r="F132" s="394">
        <f>IFERROR(IF(Loan_Not_Paid*Values_Entered,Principal,""), "")</f>
        <v>336394.68310486531</v>
      </c>
      <c r="G132" s="394">
        <f>IFERROR(IF(Loan_Not_Paid*Values_Entered,Interest,""), "")</f>
        <v>934135.10415432008</v>
      </c>
      <c r="H132" s="394">
        <f>IFERROR(IF(Loan_Not_Paid*Values_Entered,Ending_Balance,""), "")</f>
        <v>172119316.85307768</v>
      </c>
    </row>
    <row r="133" spans="2:8">
      <c r="B133" s="396">
        <f>IFERROR(IF(Loan_Not_Paid*Values_Entered,Payment_Number,""), "")</f>
        <v>116</v>
      </c>
      <c r="C133" s="395"/>
      <c r="D133" s="394">
        <f>IFERROR(IF(Loan_Not_Paid*Values_Entered,Beginning_Balance,""), "")</f>
        <v>172119316.85307768</v>
      </c>
      <c r="E133" s="394">
        <f>IFERROR(IF(Loan_Not_Paid*Values_Entered,Monthly_Payment,""), "")</f>
        <v>1270529.7872591855</v>
      </c>
      <c r="F133" s="394">
        <f>IFERROR(IF(Loan_Not_Paid*Values_Entered,Principal,""), "")</f>
        <v>338216.82097168331</v>
      </c>
      <c r="G133" s="394">
        <f>IFERROR(IF(Loan_Not_Paid*Values_Entered,Interest,""), "")</f>
        <v>932312.9662875022</v>
      </c>
      <c r="H133" s="394">
        <f>IFERROR(IF(Loan_Not_Paid*Values_Entered,Ending_Balance,""), "")</f>
        <v>171781100.03210607</v>
      </c>
    </row>
    <row r="134" spans="2:8">
      <c r="B134" s="396">
        <f>IFERROR(IF(Loan_Not_Paid*Values_Entered,Payment_Number,""), "")</f>
        <v>117</v>
      </c>
      <c r="C134" s="395"/>
      <c r="D134" s="394">
        <f>IFERROR(IF(Loan_Not_Paid*Values_Entered,Beginning_Balance,""), "")</f>
        <v>171781100.03210607</v>
      </c>
      <c r="E134" s="394">
        <f>IFERROR(IF(Loan_Not_Paid*Values_Entered,Monthly_Payment,""), "")</f>
        <v>1270529.7872591855</v>
      </c>
      <c r="F134" s="394">
        <f>IFERROR(IF(Loan_Not_Paid*Values_Entered,Principal,""), "")</f>
        <v>340048.82875194657</v>
      </c>
      <c r="G134" s="394">
        <f>IFERROR(IF(Loan_Not_Paid*Values_Entered,Interest,""), "")</f>
        <v>930480.95850723889</v>
      </c>
      <c r="H134" s="394">
        <f>IFERROR(IF(Loan_Not_Paid*Values_Entered,Ending_Balance,""), "")</f>
        <v>171441051.20335409</v>
      </c>
    </row>
    <row r="135" spans="2:8">
      <c r="B135" s="396">
        <f>IFERROR(IF(Loan_Not_Paid*Values_Entered,Payment_Number,""), "")</f>
        <v>118</v>
      </c>
      <c r="C135" s="395"/>
      <c r="D135" s="394">
        <f>IFERROR(IF(Loan_Not_Paid*Values_Entered,Beginning_Balance,""), "")</f>
        <v>171441051.20335409</v>
      </c>
      <c r="E135" s="394">
        <f>IFERROR(IF(Loan_Not_Paid*Values_Entered,Monthly_Payment,""), "")</f>
        <v>1270529.7872591855</v>
      </c>
      <c r="F135" s="394">
        <f>IFERROR(IF(Loan_Not_Paid*Values_Entered,Principal,""), "")</f>
        <v>341890.75990768627</v>
      </c>
      <c r="G135" s="394">
        <f>IFERROR(IF(Loan_Not_Paid*Values_Entered,Interest,""), "")</f>
        <v>928639.02735149907</v>
      </c>
      <c r="H135" s="394">
        <f>IFERROR(IF(Loan_Not_Paid*Values_Entered,Ending_Balance,""), "")</f>
        <v>171099160.44344643</v>
      </c>
    </row>
    <row r="136" spans="2:8">
      <c r="B136" s="396">
        <f>IFERROR(IF(Loan_Not_Paid*Values_Entered,Payment_Number,""), "")</f>
        <v>119</v>
      </c>
      <c r="C136" s="395"/>
      <c r="D136" s="394">
        <f>IFERROR(IF(Loan_Not_Paid*Values_Entered,Beginning_Balance,""), "")</f>
        <v>171099160.44344643</v>
      </c>
      <c r="E136" s="394">
        <f>IFERROR(IF(Loan_Not_Paid*Values_Entered,Monthly_Payment,""), "")</f>
        <v>1270529.7872591855</v>
      </c>
      <c r="F136" s="394">
        <f>IFERROR(IF(Loan_Not_Paid*Values_Entered,Principal,""), "")</f>
        <v>343742.66819051956</v>
      </c>
      <c r="G136" s="394">
        <f>IFERROR(IF(Loan_Not_Paid*Values_Entered,Interest,""), "")</f>
        <v>926787.1190686659</v>
      </c>
      <c r="H136" s="394">
        <f>IFERROR(IF(Loan_Not_Paid*Values_Entered,Ending_Balance,""), "")</f>
        <v>170755417.77525586</v>
      </c>
    </row>
    <row r="137" spans="2:8">
      <c r="B137" s="396">
        <f>IFERROR(IF(Loan_Not_Paid*Values_Entered,Payment_Number,""), "")</f>
        <v>120</v>
      </c>
      <c r="C137" s="395"/>
      <c r="D137" s="394">
        <f>IFERROR(IF(Loan_Not_Paid*Values_Entered,Beginning_Balance,""), "")</f>
        <v>170755417.77525586</v>
      </c>
      <c r="E137" s="394">
        <f>IFERROR(IF(Loan_Not_Paid*Values_Entered,Monthly_Payment,""), "")</f>
        <v>1270529.7872591855</v>
      </c>
      <c r="F137" s="394">
        <f>IFERROR(IF(Loan_Not_Paid*Values_Entered,Principal,""), "")</f>
        <v>345604.60764321819</v>
      </c>
      <c r="G137" s="394">
        <f>IFERROR(IF(Loan_Not_Paid*Values_Entered,Interest,""), "")</f>
        <v>924925.17961596721</v>
      </c>
      <c r="H137" s="394">
        <f>IFERROR(IF(Loan_Not_Paid*Values_Entered,Ending_Balance,""), "")</f>
        <v>170409813.16761264</v>
      </c>
    </row>
    <row r="138" spans="2:8">
      <c r="B138" s="396">
        <f>IFERROR(IF(Loan_Not_Paid*Values_Entered,Payment_Number,""), "")</f>
        <v>121</v>
      </c>
      <c r="C138" s="395"/>
      <c r="D138" s="394">
        <f>IFERROR(IF(Loan_Not_Paid*Values_Entered,Beginning_Balance,""), "")</f>
        <v>170409813.16761264</v>
      </c>
      <c r="E138" s="394">
        <f>IFERROR(IF(Loan_Not_Paid*Values_Entered,Monthly_Payment,""), "")</f>
        <v>1270529.7872591855</v>
      </c>
      <c r="F138" s="394">
        <f>IFERROR(IF(Loan_Not_Paid*Values_Entered,Principal,""), "")</f>
        <v>347476.6326012857</v>
      </c>
      <c r="G138" s="394">
        <f>IFERROR(IF(Loan_Not_Paid*Values_Entered,Interest,""), "")</f>
        <v>923053.15465789975</v>
      </c>
      <c r="H138" s="394">
        <f>IFERROR(IF(Loan_Not_Paid*Values_Entered,Ending_Balance,""), "")</f>
        <v>170062336.53501138</v>
      </c>
    </row>
    <row r="139" spans="2:8">
      <c r="B139" s="396">
        <f>IFERROR(IF(Loan_Not_Paid*Values_Entered,Payment_Number,""), "")</f>
        <v>122</v>
      </c>
      <c r="C139" s="395"/>
      <c r="D139" s="394">
        <f>IFERROR(IF(Loan_Not_Paid*Values_Entered,Beginning_Balance,""), "")</f>
        <v>170062336.53501138</v>
      </c>
      <c r="E139" s="394">
        <f>IFERROR(IF(Loan_Not_Paid*Values_Entered,Monthly_Payment,""), "")</f>
        <v>1270529.7872591855</v>
      </c>
      <c r="F139" s="394">
        <f>IFERROR(IF(Loan_Not_Paid*Values_Entered,Principal,""), "")</f>
        <v>349358.79769454256</v>
      </c>
      <c r="G139" s="394">
        <f>IFERROR(IF(Loan_Not_Paid*Values_Entered,Interest,""), "")</f>
        <v>921170.98956464278</v>
      </c>
      <c r="H139" s="394">
        <f>IFERROR(IF(Loan_Not_Paid*Values_Entered,Ending_Balance,""), "")</f>
        <v>169712977.73731688</v>
      </c>
    </row>
    <row r="140" spans="2:8">
      <c r="B140" s="396">
        <f>IFERROR(IF(Loan_Not_Paid*Values_Entered,Payment_Number,""), "")</f>
        <v>123</v>
      </c>
      <c r="C140" s="395"/>
      <c r="D140" s="394">
        <f>IFERROR(IF(Loan_Not_Paid*Values_Entered,Beginning_Balance,""), "")</f>
        <v>169712977.73731688</v>
      </c>
      <c r="E140" s="394">
        <f>IFERROR(IF(Loan_Not_Paid*Values_Entered,Monthly_Payment,""), "")</f>
        <v>1270529.7872591855</v>
      </c>
      <c r="F140" s="394">
        <f>IFERROR(IF(Loan_Not_Paid*Values_Entered,Principal,""), "")</f>
        <v>351251.15784872137</v>
      </c>
      <c r="G140" s="394">
        <f>IFERROR(IF(Loan_Not_Paid*Values_Entered,Interest,""), "")</f>
        <v>919278.62941046397</v>
      </c>
      <c r="H140" s="394">
        <f>IFERROR(IF(Loan_Not_Paid*Values_Entered,Ending_Balance,""), "")</f>
        <v>169361726.5794681</v>
      </c>
    </row>
    <row r="141" spans="2:8">
      <c r="B141" s="396">
        <f>IFERROR(IF(Loan_Not_Paid*Values_Entered,Payment_Number,""), "")</f>
        <v>124</v>
      </c>
      <c r="C141" s="395"/>
      <c r="D141" s="394">
        <f>IFERROR(IF(Loan_Not_Paid*Values_Entered,Beginning_Balance,""), "")</f>
        <v>169361726.5794681</v>
      </c>
      <c r="E141" s="394">
        <f>IFERROR(IF(Loan_Not_Paid*Values_Entered,Monthly_Payment,""), "")</f>
        <v>1270529.7872591855</v>
      </c>
      <c r="F141" s="394">
        <f>IFERROR(IF(Loan_Not_Paid*Values_Entered,Principal,""), "")</f>
        <v>353153.7682870687</v>
      </c>
      <c r="G141" s="394">
        <f>IFERROR(IF(Loan_Not_Paid*Values_Entered,Interest,""), "")</f>
        <v>917376.01897211687</v>
      </c>
      <c r="H141" s="394">
        <f>IFERROR(IF(Loan_Not_Paid*Values_Entered,Ending_Balance,""), "")</f>
        <v>169008572.81118107</v>
      </c>
    </row>
    <row r="142" spans="2:8">
      <c r="B142" s="396">
        <f>IFERROR(IF(Loan_Not_Paid*Values_Entered,Payment_Number,""), "")</f>
        <v>125</v>
      </c>
      <c r="C142" s="395"/>
      <c r="D142" s="394">
        <f>IFERROR(IF(Loan_Not_Paid*Values_Entered,Beginning_Balance,""), "")</f>
        <v>169008572.81118107</v>
      </c>
      <c r="E142" s="394">
        <f>IFERROR(IF(Loan_Not_Paid*Values_Entered,Monthly_Payment,""), "")</f>
        <v>1270529.7872591855</v>
      </c>
      <c r="F142" s="394">
        <f>IFERROR(IF(Loan_Not_Paid*Values_Entered,Principal,""), "")</f>
        <v>355066.68453195697</v>
      </c>
      <c r="G142" s="394">
        <f>IFERROR(IF(Loan_Not_Paid*Values_Entered,Interest,""), "")</f>
        <v>915463.10272722854</v>
      </c>
      <c r="H142" s="394">
        <f>IFERROR(IF(Loan_Not_Paid*Values_Entered,Ending_Balance,""), "")</f>
        <v>168653506.12664917</v>
      </c>
    </row>
    <row r="143" spans="2:8">
      <c r="B143" s="396">
        <f>IFERROR(IF(Loan_Not_Paid*Values_Entered,Payment_Number,""), "")</f>
        <v>126</v>
      </c>
      <c r="C143" s="395"/>
      <c r="D143" s="394">
        <f>IFERROR(IF(Loan_Not_Paid*Values_Entered,Beginning_Balance,""), "")</f>
        <v>168653506.12664917</v>
      </c>
      <c r="E143" s="394">
        <f>IFERROR(IF(Loan_Not_Paid*Values_Entered,Monthly_Payment,""), "")</f>
        <v>1270529.7872591855</v>
      </c>
      <c r="F143" s="394">
        <f>IFERROR(IF(Loan_Not_Paid*Values_Entered,Principal,""), "")</f>
        <v>356989.96240650507</v>
      </c>
      <c r="G143" s="394">
        <f>IFERROR(IF(Loan_Not_Paid*Values_Entered,Interest,""), "")</f>
        <v>913539.82485268032</v>
      </c>
      <c r="H143" s="394">
        <f>IFERROR(IF(Loan_Not_Paid*Values_Entered,Ending_Balance,""), "")</f>
        <v>168296516.1642426</v>
      </c>
    </row>
    <row r="144" spans="2:8">
      <c r="B144" s="396">
        <f>IFERROR(IF(Loan_Not_Paid*Values_Entered,Payment_Number,""), "")</f>
        <v>127</v>
      </c>
      <c r="C144" s="395"/>
      <c r="D144" s="394">
        <f>IFERROR(IF(Loan_Not_Paid*Values_Entered,Beginning_Balance,""), "")</f>
        <v>168296516.1642426</v>
      </c>
      <c r="E144" s="394">
        <f>IFERROR(IF(Loan_Not_Paid*Values_Entered,Monthly_Payment,""), "")</f>
        <v>1270529.7872591855</v>
      </c>
      <c r="F144" s="394">
        <f>IFERROR(IF(Loan_Not_Paid*Values_Entered,Principal,""), "")</f>
        <v>358923.65803620691</v>
      </c>
      <c r="G144" s="394">
        <f>IFERROR(IF(Loan_Not_Paid*Values_Entered,Interest,""), "")</f>
        <v>911606.12922297837</v>
      </c>
      <c r="H144" s="394">
        <f>IFERROR(IF(Loan_Not_Paid*Values_Entered,Ending_Balance,""), "")</f>
        <v>167937592.50620636</v>
      </c>
    </row>
    <row r="145" spans="2:8">
      <c r="B145" s="396">
        <f>IFERROR(IF(Loan_Not_Paid*Values_Entered,Payment_Number,""), "")</f>
        <v>128</v>
      </c>
      <c r="C145" s="395"/>
      <c r="D145" s="394">
        <f>IFERROR(IF(Loan_Not_Paid*Values_Entered,Beginning_Balance,""), "")</f>
        <v>167937592.50620636</v>
      </c>
      <c r="E145" s="394">
        <f>IFERROR(IF(Loan_Not_Paid*Values_Entered,Monthly_Payment,""), "")</f>
        <v>1270529.7872591855</v>
      </c>
      <c r="F145" s="394">
        <f>IFERROR(IF(Loan_Not_Paid*Values_Entered,Principal,""), "")</f>
        <v>360867.82785056974</v>
      </c>
      <c r="G145" s="394">
        <f>IFERROR(IF(Loan_Not_Paid*Values_Entered,Interest,""), "")</f>
        <v>909661.95940861572</v>
      </c>
      <c r="H145" s="394">
        <f>IFERROR(IF(Loan_Not_Paid*Values_Entered,Ending_Balance,""), "")</f>
        <v>167576724.67835587</v>
      </c>
    </row>
    <row r="146" spans="2:8">
      <c r="B146" s="396">
        <f>IFERROR(IF(Loan_Not_Paid*Values_Entered,Payment_Number,""), "")</f>
        <v>129</v>
      </c>
      <c r="C146" s="395"/>
      <c r="D146" s="394">
        <f>IFERROR(IF(Loan_Not_Paid*Values_Entered,Beginning_Balance,""), "")</f>
        <v>167576724.67835587</v>
      </c>
      <c r="E146" s="394">
        <f>IFERROR(IF(Loan_Not_Paid*Values_Entered,Monthly_Payment,""), "")</f>
        <v>1270529.7872591855</v>
      </c>
      <c r="F146" s="394">
        <f>IFERROR(IF(Loan_Not_Paid*Values_Entered,Principal,""), "")</f>
        <v>362822.52858476032</v>
      </c>
      <c r="G146" s="394">
        <f>IFERROR(IF(Loan_Not_Paid*Values_Entered,Interest,""), "")</f>
        <v>907707.25867442507</v>
      </c>
      <c r="H146" s="394">
        <f>IFERROR(IF(Loan_Not_Paid*Values_Entered,Ending_Balance,""), "")</f>
        <v>167213902.14977109</v>
      </c>
    </row>
    <row r="147" spans="2:8">
      <c r="B147" s="396">
        <f>IFERROR(IF(Loan_Not_Paid*Values_Entered,Payment_Number,""), "")</f>
        <v>130</v>
      </c>
      <c r="C147" s="395"/>
      <c r="D147" s="394">
        <f>IFERROR(IF(Loan_Not_Paid*Values_Entered,Beginning_Balance,""), "")</f>
        <v>167213902.14977109</v>
      </c>
      <c r="E147" s="394">
        <f>IFERROR(IF(Loan_Not_Paid*Values_Entered,Monthly_Payment,""), "")</f>
        <v>1270529.7872591855</v>
      </c>
      <c r="F147" s="394">
        <f>IFERROR(IF(Loan_Not_Paid*Values_Entered,Principal,""), "")</f>
        <v>364787.81728126114</v>
      </c>
      <c r="G147" s="394">
        <f>IFERROR(IF(Loan_Not_Paid*Values_Entered,Interest,""), "")</f>
        <v>905741.96997792437</v>
      </c>
      <c r="H147" s="394">
        <f>IFERROR(IF(Loan_Not_Paid*Values_Entered,Ending_Balance,""), "")</f>
        <v>166849114.33248988</v>
      </c>
    </row>
    <row r="148" spans="2:8">
      <c r="B148" s="396">
        <f>IFERROR(IF(Loan_Not_Paid*Values_Entered,Payment_Number,""), "")</f>
        <v>131</v>
      </c>
      <c r="C148" s="395"/>
      <c r="D148" s="394">
        <f>IFERROR(IF(Loan_Not_Paid*Values_Entered,Beginning_Balance,""), "")</f>
        <v>166849114.33248988</v>
      </c>
      <c r="E148" s="394">
        <f>IFERROR(IF(Loan_Not_Paid*Values_Entered,Monthly_Payment,""), "")</f>
        <v>1270529.7872591855</v>
      </c>
      <c r="F148" s="394">
        <f>IFERROR(IF(Loan_Not_Paid*Values_Entered,Principal,""), "")</f>
        <v>366763.75129153463</v>
      </c>
      <c r="G148" s="394">
        <f>IFERROR(IF(Loan_Not_Paid*Values_Entered,Interest,""), "")</f>
        <v>903766.03596765082</v>
      </c>
      <c r="H148" s="394">
        <f>IFERROR(IF(Loan_Not_Paid*Values_Entered,Ending_Balance,""), "")</f>
        <v>166482350.58119833</v>
      </c>
    </row>
    <row r="149" spans="2:8">
      <c r="B149" s="396">
        <f>IFERROR(IF(Loan_Not_Paid*Values_Entered,Payment_Number,""), "")</f>
        <v>132</v>
      </c>
      <c r="C149" s="395"/>
      <c r="D149" s="394">
        <f>IFERROR(IF(Loan_Not_Paid*Values_Entered,Beginning_Balance,""), "")</f>
        <v>166482350.58119833</v>
      </c>
      <c r="E149" s="394">
        <f>IFERROR(IF(Loan_Not_Paid*Values_Entered,Monthly_Payment,""), "")</f>
        <v>1270529.7872591855</v>
      </c>
      <c r="F149" s="394">
        <f>IFERROR(IF(Loan_Not_Paid*Values_Entered,Principal,""), "")</f>
        <v>368750.38827769697</v>
      </c>
      <c r="G149" s="394">
        <f>IFERROR(IF(Loan_Not_Paid*Values_Entered,Interest,""), "")</f>
        <v>901779.39898148831</v>
      </c>
      <c r="H149" s="394">
        <f>IFERROR(IF(Loan_Not_Paid*Values_Entered,Ending_Balance,""), "")</f>
        <v>166113600.19292066</v>
      </c>
    </row>
    <row r="150" spans="2:8">
      <c r="B150" s="396">
        <f>IFERROR(IF(Loan_Not_Paid*Values_Entered,Payment_Number,""), "")</f>
        <v>133</v>
      </c>
      <c r="C150" s="395"/>
      <c r="D150" s="394">
        <f>IFERROR(IF(Loan_Not_Paid*Values_Entered,Beginning_Balance,""), "")</f>
        <v>166113600.19292066</v>
      </c>
      <c r="E150" s="394">
        <f>IFERROR(IF(Loan_Not_Paid*Values_Entered,Monthly_Payment,""), "")</f>
        <v>1270529.7872591855</v>
      </c>
      <c r="F150" s="394">
        <f>IFERROR(IF(Loan_Not_Paid*Values_Entered,Principal,""), "")</f>
        <v>370747.78621420125</v>
      </c>
      <c r="G150" s="394">
        <f>IFERROR(IF(Loan_Not_Paid*Values_Entered,Interest,""), "")</f>
        <v>899782.00104498421</v>
      </c>
      <c r="H150" s="394">
        <f>IFERROR(IF(Loan_Not_Paid*Values_Entered,Ending_Balance,""), "")</f>
        <v>165742852.40670642</v>
      </c>
    </row>
    <row r="151" spans="2:8">
      <c r="B151" s="396">
        <f>IFERROR(IF(Loan_Not_Paid*Values_Entered,Payment_Number,""), "")</f>
        <v>134</v>
      </c>
      <c r="C151" s="395"/>
      <c r="D151" s="394">
        <f>IFERROR(IF(Loan_Not_Paid*Values_Entered,Beginning_Balance,""), "")</f>
        <v>165742852.40670642</v>
      </c>
      <c r="E151" s="394">
        <f>IFERROR(IF(Loan_Not_Paid*Values_Entered,Monthly_Payment,""), "")</f>
        <v>1270529.7872591855</v>
      </c>
      <c r="F151" s="394">
        <f>IFERROR(IF(Loan_Not_Paid*Values_Entered,Principal,""), "")</f>
        <v>372756.0033895282</v>
      </c>
      <c r="G151" s="394">
        <f>IFERROR(IF(Loan_Not_Paid*Values_Entered,Interest,""), "")</f>
        <v>897773.7838696572</v>
      </c>
      <c r="H151" s="394">
        <f>IFERROR(IF(Loan_Not_Paid*Values_Entered,Ending_Balance,""), "")</f>
        <v>165370096.40331694</v>
      </c>
    </row>
    <row r="152" spans="2:8">
      <c r="B152" s="396">
        <f>IFERROR(IF(Loan_Not_Paid*Values_Entered,Payment_Number,""), "")</f>
        <v>135</v>
      </c>
      <c r="C152" s="395"/>
      <c r="D152" s="394">
        <f>IFERROR(IF(Loan_Not_Paid*Values_Entered,Beginning_Balance,""), "")</f>
        <v>165370096.40331694</v>
      </c>
      <c r="E152" s="394">
        <f>IFERROR(IF(Loan_Not_Paid*Values_Entered,Monthly_Payment,""), "")</f>
        <v>1270529.7872591855</v>
      </c>
      <c r="F152" s="394">
        <f>IFERROR(IF(Loan_Not_Paid*Values_Entered,Principal,""), "")</f>
        <v>374775.0984078882</v>
      </c>
      <c r="G152" s="394">
        <f>IFERROR(IF(Loan_Not_Paid*Values_Entered,Interest,""), "")</f>
        <v>895754.68885129725</v>
      </c>
      <c r="H152" s="394">
        <f>IFERROR(IF(Loan_Not_Paid*Values_Entered,Ending_Balance,""), "")</f>
        <v>164995321.30490905</v>
      </c>
    </row>
    <row r="153" spans="2:8">
      <c r="B153" s="396">
        <f>IFERROR(IF(Loan_Not_Paid*Values_Entered,Payment_Number,""), "")</f>
        <v>136</v>
      </c>
      <c r="C153" s="395"/>
      <c r="D153" s="394">
        <f>IFERROR(IF(Loan_Not_Paid*Values_Entered,Beginning_Balance,""), "")</f>
        <v>164995321.30490905</v>
      </c>
      <c r="E153" s="394">
        <f>IFERROR(IF(Loan_Not_Paid*Values_Entered,Monthly_Payment,""), "")</f>
        <v>1270529.7872591855</v>
      </c>
      <c r="F153" s="394">
        <f>IFERROR(IF(Loan_Not_Paid*Values_Entered,Principal,""), "")</f>
        <v>376805.13019093091</v>
      </c>
      <c r="G153" s="394">
        <f>IFERROR(IF(Loan_Not_Paid*Values_Entered,Interest,""), "")</f>
        <v>893724.65706825443</v>
      </c>
      <c r="H153" s="394">
        <f>IFERROR(IF(Loan_Not_Paid*Values_Entered,Ending_Balance,""), "")</f>
        <v>164618516.17471811</v>
      </c>
    </row>
    <row r="154" spans="2:8">
      <c r="B154" s="396">
        <f>IFERROR(IF(Loan_Not_Paid*Values_Entered,Payment_Number,""), "")</f>
        <v>137</v>
      </c>
      <c r="C154" s="395"/>
      <c r="D154" s="394">
        <f>IFERROR(IF(Loan_Not_Paid*Values_Entered,Beginning_Balance,""), "")</f>
        <v>164618516.17471811</v>
      </c>
      <c r="E154" s="394">
        <f>IFERROR(IF(Loan_Not_Paid*Values_Entered,Monthly_Payment,""), "")</f>
        <v>1270529.7872591855</v>
      </c>
      <c r="F154" s="394">
        <f>IFERROR(IF(Loan_Not_Paid*Values_Entered,Principal,""), "")</f>
        <v>378846.15797946503</v>
      </c>
      <c r="G154" s="394">
        <f>IFERROR(IF(Loan_Not_Paid*Values_Entered,Interest,""), "")</f>
        <v>891683.62927972025</v>
      </c>
      <c r="H154" s="394">
        <f>IFERROR(IF(Loan_Not_Paid*Values_Entered,Ending_Balance,""), "")</f>
        <v>164239670.01673865</v>
      </c>
    </row>
    <row r="155" spans="2:8">
      <c r="B155" s="396">
        <f>IFERROR(IF(Loan_Not_Paid*Values_Entered,Payment_Number,""), "")</f>
        <v>138</v>
      </c>
      <c r="C155" s="395"/>
      <c r="D155" s="394">
        <f>IFERROR(IF(Loan_Not_Paid*Values_Entered,Beginning_Balance,""), "")</f>
        <v>164239670.01673865</v>
      </c>
      <c r="E155" s="394">
        <f>IFERROR(IF(Loan_Not_Paid*Values_Entered,Monthly_Payment,""), "")</f>
        <v>1270529.7872591855</v>
      </c>
      <c r="F155" s="394">
        <f>IFERROR(IF(Loan_Not_Paid*Values_Entered,Principal,""), "")</f>
        <v>380898.24133518717</v>
      </c>
      <c r="G155" s="394">
        <f>IFERROR(IF(Loan_Not_Paid*Values_Entered,Interest,""), "")</f>
        <v>889631.54592399811</v>
      </c>
      <c r="H155" s="394">
        <f>IFERROR(IF(Loan_Not_Paid*Values_Entered,Ending_Balance,""), "")</f>
        <v>163858771.7754035</v>
      </c>
    </row>
    <row r="156" spans="2:8">
      <c r="B156" s="396">
        <f>IFERROR(IF(Loan_Not_Paid*Values_Entered,Payment_Number,""), "")</f>
        <v>139</v>
      </c>
      <c r="C156" s="395"/>
      <c r="D156" s="394">
        <f>IFERROR(IF(Loan_Not_Paid*Values_Entered,Beginning_Balance,""), "")</f>
        <v>163858771.7754035</v>
      </c>
      <c r="E156" s="394">
        <f>IFERROR(IF(Loan_Not_Paid*Values_Entered,Monthly_Payment,""), "")</f>
        <v>1270529.7872591855</v>
      </c>
      <c r="F156" s="394">
        <f>IFERROR(IF(Loan_Not_Paid*Values_Entered,Principal,""), "")</f>
        <v>382961.44014241942</v>
      </c>
      <c r="G156" s="394">
        <f>IFERROR(IF(Loan_Not_Paid*Values_Entered,Interest,""), "")</f>
        <v>887568.34711676592</v>
      </c>
      <c r="H156" s="394">
        <f>IFERROR(IF(Loan_Not_Paid*Values_Entered,Ending_Balance,""), "")</f>
        <v>163475810.33526102</v>
      </c>
    </row>
    <row r="157" spans="2:8">
      <c r="B157" s="396">
        <f>IFERROR(IF(Loan_Not_Paid*Values_Entered,Payment_Number,""), "")</f>
        <v>140</v>
      </c>
      <c r="C157" s="395"/>
      <c r="D157" s="394">
        <f>IFERROR(IF(Loan_Not_Paid*Values_Entered,Beginning_Balance,""), "")</f>
        <v>163475810.33526102</v>
      </c>
      <c r="E157" s="394">
        <f>IFERROR(IF(Loan_Not_Paid*Values_Entered,Monthly_Payment,""), "")</f>
        <v>1270529.7872591855</v>
      </c>
      <c r="F157" s="394">
        <f>IFERROR(IF(Loan_Not_Paid*Values_Entered,Principal,""), "")</f>
        <v>385035.81460985757</v>
      </c>
      <c r="G157" s="394">
        <f>IFERROR(IF(Loan_Not_Paid*Values_Entered,Interest,""), "")</f>
        <v>885493.97264932794</v>
      </c>
      <c r="H157" s="394">
        <f>IFERROR(IF(Loan_Not_Paid*Values_Entered,Ending_Balance,""), "")</f>
        <v>163090774.52065122</v>
      </c>
    </row>
    <row r="158" spans="2:8">
      <c r="B158" s="396">
        <f>IFERROR(IF(Loan_Not_Paid*Values_Entered,Payment_Number,""), "")</f>
        <v>141</v>
      </c>
      <c r="C158" s="395"/>
      <c r="D158" s="394">
        <f>IFERROR(IF(Loan_Not_Paid*Values_Entered,Beginning_Balance,""), "")</f>
        <v>163090774.52065122</v>
      </c>
      <c r="E158" s="394">
        <f>IFERROR(IF(Loan_Not_Paid*Values_Entered,Monthly_Payment,""), "")</f>
        <v>1270529.7872591855</v>
      </c>
      <c r="F158" s="394">
        <f>IFERROR(IF(Loan_Not_Paid*Values_Entered,Principal,""), "")</f>
        <v>387121.42527232767</v>
      </c>
      <c r="G158" s="394">
        <f>IFERROR(IF(Loan_Not_Paid*Values_Entered,Interest,""), "")</f>
        <v>883408.36198685772</v>
      </c>
      <c r="H158" s="394">
        <f>IFERROR(IF(Loan_Not_Paid*Values_Entered,Ending_Balance,""), "")</f>
        <v>162703653.09537885</v>
      </c>
    </row>
    <row r="159" spans="2:8">
      <c r="B159" s="396">
        <f>IFERROR(IF(Loan_Not_Paid*Values_Entered,Payment_Number,""), "")</f>
        <v>142</v>
      </c>
      <c r="C159" s="395"/>
      <c r="D159" s="394">
        <f>IFERROR(IF(Loan_Not_Paid*Values_Entered,Beginning_Balance,""), "")</f>
        <v>162703653.09537885</v>
      </c>
      <c r="E159" s="394">
        <f>IFERROR(IF(Loan_Not_Paid*Values_Entered,Monthly_Payment,""), "")</f>
        <v>1270529.7872591855</v>
      </c>
      <c r="F159" s="394">
        <f>IFERROR(IF(Loan_Not_Paid*Values_Entered,Principal,""), "")</f>
        <v>389218.33299255266</v>
      </c>
      <c r="G159" s="394">
        <f>IFERROR(IF(Loan_Not_Paid*Values_Entered,Interest,""), "")</f>
        <v>881311.45426663267</v>
      </c>
      <c r="H159" s="394">
        <f>IFERROR(IF(Loan_Not_Paid*Values_Entered,Ending_Balance,""), "")</f>
        <v>162314434.76238632</v>
      </c>
    </row>
    <row r="160" spans="2:8">
      <c r="B160" s="396">
        <f>IFERROR(IF(Loan_Not_Paid*Values_Entered,Payment_Number,""), "")</f>
        <v>143</v>
      </c>
      <c r="C160" s="395"/>
      <c r="D160" s="394">
        <f>IFERROR(IF(Loan_Not_Paid*Values_Entered,Beginning_Balance,""), "")</f>
        <v>162314434.76238632</v>
      </c>
      <c r="E160" s="394">
        <f>IFERROR(IF(Loan_Not_Paid*Values_Entered,Monthly_Payment,""), "")</f>
        <v>1270529.7872591855</v>
      </c>
      <c r="F160" s="394">
        <f>IFERROR(IF(Loan_Not_Paid*Values_Entered,Principal,""), "")</f>
        <v>391326.59896292904</v>
      </c>
      <c r="G160" s="394">
        <f>IFERROR(IF(Loan_Not_Paid*Values_Entered,Interest,""), "")</f>
        <v>879203.18829625635</v>
      </c>
      <c r="H160" s="394">
        <f>IFERROR(IF(Loan_Not_Paid*Values_Entered,Ending_Balance,""), "")</f>
        <v>161923108.16342342</v>
      </c>
    </row>
    <row r="161" spans="2:8">
      <c r="B161" s="396">
        <f>IFERROR(IF(Loan_Not_Paid*Values_Entered,Payment_Number,""), "")</f>
        <v>144</v>
      </c>
      <c r="C161" s="395"/>
      <c r="D161" s="394">
        <f>IFERROR(IF(Loan_Not_Paid*Values_Entered,Beginning_Balance,""), "")</f>
        <v>161923108.16342342</v>
      </c>
      <c r="E161" s="394">
        <f>IFERROR(IF(Loan_Not_Paid*Values_Entered,Monthly_Payment,""), "")</f>
        <v>1270529.7872591855</v>
      </c>
      <c r="F161" s="394">
        <f>IFERROR(IF(Loan_Not_Paid*Values_Entered,Principal,""), "")</f>
        <v>393446.2847073116</v>
      </c>
      <c r="G161" s="394">
        <f>IFERROR(IF(Loan_Not_Paid*Values_Entered,Interest,""), "")</f>
        <v>877083.5025518738</v>
      </c>
      <c r="H161" s="394">
        <f>IFERROR(IF(Loan_Not_Paid*Values_Entered,Ending_Balance,""), "")</f>
        <v>161529661.87871611</v>
      </c>
    </row>
    <row r="162" spans="2:8">
      <c r="B162" s="396">
        <f>IFERROR(IF(Loan_Not_Paid*Values_Entered,Payment_Number,""), "")</f>
        <v>145</v>
      </c>
      <c r="C162" s="395"/>
      <c r="D162" s="394">
        <f>IFERROR(IF(Loan_Not_Paid*Values_Entered,Beginning_Balance,""), "")</f>
        <v>161529661.87871611</v>
      </c>
      <c r="E162" s="394">
        <f>IFERROR(IF(Loan_Not_Paid*Values_Entered,Monthly_Payment,""), "")</f>
        <v>1270529.7872591855</v>
      </c>
      <c r="F162" s="394">
        <f>IFERROR(IF(Loan_Not_Paid*Values_Entered,Principal,""), "")</f>
        <v>395577.45208280953</v>
      </c>
      <c r="G162" s="394">
        <f>IFERROR(IF(Loan_Not_Paid*Values_Entered,Interest,""), "")</f>
        <v>874952.33517637593</v>
      </c>
      <c r="H162" s="394">
        <f>IFERROR(IF(Loan_Not_Paid*Values_Entered,Ending_Balance,""), "")</f>
        <v>161134084.42663336</v>
      </c>
    </row>
    <row r="163" spans="2:8">
      <c r="B163" s="396">
        <f>IFERROR(IF(Loan_Not_Paid*Values_Entered,Payment_Number,""), "")</f>
        <v>146</v>
      </c>
      <c r="C163" s="395"/>
      <c r="D163" s="394">
        <f>IFERROR(IF(Loan_Not_Paid*Values_Entered,Beginning_Balance,""), "")</f>
        <v>161134084.42663336</v>
      </c>
      <c r="E163" s="394">
        <f>IFERROR(IF(Loan_Not_Paid*Values_Entered,Monthly_Payment,""), "")</f>
        <v>1270529.7872591855</v>
      </c>
      <c r="F163" s="394">
        <f>IFERROR(IF(Loan_Not_Paid*Values_Entered,Principal,""), "")</f>
        <v>397720.16328159149</v>
      </c>
      <c r="G163" s="394">
        <f>IFERROR(IF(Loan_Not_Paid*Values_Entered,Interest,""), "")</f>
        <v>872809.62397759384</v>
      </c>
      <c r="H163" s="394">
        <f>IFERROR(IF(Loan_Not_Paid*Values_Entered,Ending_Balance,""), "")</f>
        <v>160736364.26335174</v>
      </c>
    </row>
    <row r="164" spans="2:8">
      <c r="B164" s="396">
        <f>IFERROR(IF(Loan_Not_Paid*Values_Entered,Payment_Number,""), "")</f>
        <v>147</v>
      </c>
      <c r="C164" s="395"/>
      <c r="D164" s="394">
        <f>IFERROR(IF(Loan_Not_Paid*Values_Entered,Beginning_Balance,""), "")</f>
        <v>160736364.26335174</v>
      </c>
      <c r="E164" s="394">
        <f>IFERROR(IF(Loan_Not_Paid*Values_Entered,Monthly_Payment,""), "")</f>
        <v>1270529.7872591855</v>
      </c>
      <c r="F164" s="394">
        <f>IFERROR(IF(Loan_Not_Paid*Values_Entered,Principal,""), "")</f>
        <v>399874.48083270004</v>
      </c>
      <c r="G164" s="394">
        <f>IFERROR(IF(Loan_Not_Paid*Values_Entered,Interest,""), "")</f>
        <v>870655.30642648553</v>
      </c>
      <c r="H164" s="394">
        <f>IFERROR(IF(Loan_Not_Paid*Values_Entered,Ending_Balance,""), "")</f>
        <v>160336489.78251904</v>
      </c>
    </row>
    <row r="165" spans="2:8">
      <c r="B165" s="396">
        <f>IFERROR(IF(Loan_Not_Paid*Values_Entered,Payment_Number,""), "")</f>
        <v>148</v>
      </c>
      <c r="C165" s="395"/>
      <c r="D165" s="394">
        <f>IFERROR(IF(Loan_Not_Paid*Values_Entered,Beginning_Balance,""), "")</f>
        <v>160336489.78251904</v>
      </c>
      <c r="E165" s="394">
        <f>IFERROR(IF(Loan_Not_Paid*Values_Entered,Monthly_Payment,""), "")</f>
        <v>1270529.7872591855</v>
      </c>
      <c r="F165" s="394">
        <f>IFERROR(IF(Loan_Not_Paid*Values_Entered,Principal,""), "")</f>
        <v>402040.46760387713</v>
      </c>
      <c r="G165" s="394">
        <f>IFERROR(IF(Loan_Not_Paid*Values_Entered,Interest,""), "")</f>
        <v>868489.31965530827</v>
      </c>
      <c r="H165" s="394">
        <f>IFERROR(IF(Loan_Not_Paid*Values_Entered,Ending_Balance,""), "")</f>
        <v>159934449.31491518</v>
      </c>
    </row>
    <row r="166" spans="2:8">
      <c r="B166" s="396">
        <f>IFERROR(IF(Loan_Not_Paid*Values_Entered,Payment_Number,""), "")</f>
        <v>149</v>
      </c>
      <c r="C166" s="395"/>
      <c r="D166" s="394">
        <f>IFERROR(IF(Loan_Not_Paid*Values_Entered,Beginning_Balance,""), "")</f>
        <v>159934449.31491518</v>
      </c>
      <c r="E166" s="394">
        <f>IFERROR(IF(Loan_Not_Paid*Values_Entered,Monthly_Payment,""), "")</f>
        <v>1270529.7872591855</v>
      </c>
      <c r="F166" s="394">
        <f>IFERROR(IF(Loan_Not_Paid*Values_Entered,Principal,""), "")</f>
        <v>404218.18680339813</v>
      </c>
      <c r="G166" s="394">
        <f>IFERROR(IF(Loan_Not_Paid*Values_Entered,Interest,""), "")</f>
        <v>866311.60045578715</v>
      </c>
      <c r="H166" s="394">
        <f>IFERROR(IF(Loan_Not_Paid*Values_Entered,Ending_Balance,""), "")</f>
        <v>159530231.12811184</v>
      </c>
    </row>
    <row r="167" spans="2:8">
      <c r="B167" s="396">
        <f>IFERROR(IF(Loan_Not_Paid*Values_Entered,Payment_Number,""), "")</f>
        <v>150</v>
      </c>
      <c r="C167" s="395"/>
      <c r="D167" s="394">
        <f>IFERROR(IF(Loan_Not_Paid*Values_Entered,Beginning_Balance,""), "")</f>
        <v>159530231.12811184</v>
      </c>
      <c r="E167" s="394">
        <f>IFERROR(IF(Loan_Not_Paid*Values_Entered,Monthly_Payment,""), "")</f>
        <v>1270529.7872591855</v>
      </c>
      <c r="F167" s="394">
        <f>IFERROR(IF(Loan_Not_Paid*Values_Entered,Principal,""), "")</f>
        <v>406407.70198191656</v>
      </c>
      <c r="G167" s="394">
        <f>IFERROR(IF(Loan_Not_Paid*Values_Entered,Interest,""), "")</f>
        <v>864122.0852772689</v>
      </c>
      <c r="H167" s="394">
        <f>IFERROR(IF(Loan_Not_Paid*Values_Entered,Ending_Balance,""), "")</f>
        <v>159123823.42612988</v>
      </c>
    </row>
    <row r="168" spans="2:8">
      <c r="B168" s="396">
        <f>IFERROR(IF(Loan_Not_Paid*Values_Entered,Payment_Number,""), "")</f>
        <v>151</v>
      </c>
      <c r="C168" s="395"/>
      <c r="D168" s="394">
        <f>IFERROR(IF(Loan_Not_Paid*Values_Entered,Beginning_Balance,""), "")</f>
        <v>159123823.42612988</v>
      </c>
      <c r="E168" s="394">
        <f>IFERROR(IF(Loan_Not_Paid*Values_Entered,Monthly_Payment,""), "")</f>
        <v>1270529.7872591855</v>
      </c>
      <c r="F168" s="394">
        <f>IFERROR(IF(Loan_Not_Paid*Values_Entered,Principal,""), "")</f>
        <v>408609.07703431853</v>
      </c>
      <c r="G168" s="394">
        <f>IFERROR(IF(Loan_Not_Paid*Values_Entered,Interest,""), "")</f>
        <v>861920.71022486687</v>
      </c>
      <c r="H168" s="394">
        <f>IFERROR(IF(Loan_Not_Paid*Values_Entered,Ending_Balance,""), "")</f>
        <v>158715214.34909552</v>
      </c>
    </row>
    <row r="169" spans="2:8">
      <c r="B169" s="396">
        <f>IFERROR(IF(Loan_Not_Paid*Values_Entered,Payment_Number,""), "")</f>
        <v>152</v>
      </c>
      <c r="C169" s="395"/>
      <c r="D169" s="394">
        <f>IFERROR(IF(Loan_Not_Paid*Values_Entered,Beginning_Balance,""), "")</f>
        <v>158715214.34909552</v>
      </c>
      <c r="E169" s="394">
        <f>IFERROR(IF(Loan_Not_Paid*Values_Entered,Monthly_Payment,""), "")</f>
        <v>1270529.7872591855</v>
      </c>
      <c r="F169" s="394">
        <f>IFERROR(IF(Loan_Not_Paid*Values_Entered,Principal,""), "")</f>
        <v>410822.37620158779</v>
      </c>
      <c r="G169" s="394">
        <f>IFERROR(IF(Loan_Not_Paid*Values_Entered,Interest,""), "")</f>
        <v>859707.41105759761</v>
      </c>
      <c r="H169" s="394">
        <f>IFERROR(IF(Loan_Not_Paid*Values_Entered,Ending_Balance,""), "")</f>
        <v>158304391.97289395</v>
      </c>
    </row>
    <row r="170" spans="2:8">
      <c r="B170" s="396">
        <f>IFERROR(IF(Loan_Not_Paid*Values_Entered,Payment_Number,""), "")</f>
        <v>153</v>
      </c>
      <c r="C170" s="395"/>
      <c r="D170" s="394">
        <f>IFERROR(IF(Loan_Not_Paid*Values_Entered,Beginning_Balance,""), "")</f>
        <v>158304391.97289395</v>
      </c>
      <c r="E170" s="394">
        <f>IFERROR(IF(Loan_Not_Paid*Values_Entered,Monthly_Payment,""), "")</f>
        <v>1270529.7872591855</v>
      </c>
      <c r="F170" s="394">
        <f>IFERROR(IF(Loan_Not_Paid*Values_Entered,Principal,""), "")</f>
        <v>413047.6640726797</v>
      </c>
      <c r="G170" s="394">
        <f>IFERROR(IF(Loan_Not_Paid*Values_Entered,Interest,""), "")</f>
        <v>857482.12318650575</v>
      </c>
      <c r="H170" s="394">
        <f>IFERROR(IF(Loan_Not_Paid*Values_Entered,Ending_Balance,""), "")</f>
        <v>157891344.30882132</v>
      </c>
    </row>
    <row r="171" spans="2:8">
      <c r="B171" s="396">
        <f>IFERROR(IF(Loan_Not_Paid*Values_Entered,Payment_Number,""), "")</f>
        <v>154</v>
      </c>
      <c r="C171" s="395"/>
      <c r="D171" s="394">
        <f>IFERROR(IF(Loan_Not_Paid*Values_Entered,Beginning_Balance,""), "")</f>
        <v>157891344.30882132</v>
      </c>
      <c r="E171" s="394">
        <f>IFERROR(IF(Loan_Not_Paid*Values_Entered,Monthly_Payment,""), "")</f>
        <v>1270529.7872591855</v>
      </c>
      <c r="F171" s="394">
        <f>IFERROR(IF(Loan_Not_Paid*Values_Entered,Principal,""), "")</f>
        <v>415285.0055864068</v>
      </c>
      <c r="G171" s="394">
        <f>IFERROR(IF(Loan_Not_Paid*Values_Entered,Interest,""), "")</f>
        <v>855244.78167277866</v>
      </c>
      <c r="H171" s="394">
        <f>IFERROR(IF(Loan_Not_Paid*Values_Entered,Ending_Balance,""), "")</f>
        <v>157476059.30323493</v>
      </c>
    </row>
    <row r="172" spans="2:8">
      <c r="B172" s="396">
        <f>IFERROR(IF(Loan_Not_Paid*Values_Entered,Payment_Number,""), "")</f>
        <v>155</v>
      </c>
      <c r="C172" s="395"/>
      <c r="D172" s="394">
        <f>IFERROR(IF(Loan_Not_Paid*Values_Entered,Beginning_Balance,""), "")</f>
        <v>157476059.30323493</v>
      </c>
      <c r="E172" s="394">
        <f>IFERROR(IF(Loan_Not_Paid*Values_Entered,Monthly_Payment,""), "")</f>
        <v>1270529.7872591855</v>
      </c>
      <c r="F172" s="394">
        <f>IFERROR(IF(Loan_Not_Paid*Values_Entered,Principal,""), "")</f>
        <v>417534.46603333321</v>
      </c>
      <c r="G172" s="394">
        <f>IFERROR(IF(Loan_Not_Paid*Values_Entered,Interest,""), "")</f>
        <v>852995.32122585224</v>
      </c>
      <c r="H172" s="394">
        <f>IFERROR(IF(Loan_Not_Paid*Values_Entered,Ending_Balance,""), "")</f>
        <v>157058524.8372016</v>
      </c>
    </row>
    <row r="173" spans="2:8">
      <c r="B173" s="396">
        <f>IFERROR(IF(Loan_Not_Paid*Values_Entered,Payment_Number,""), "")</f>
        <v>156</v>
      </c>
      <c r="C173" s="395"/>
      <c r="D173" s="394">
        <f>IFERROR(IF(Loan_Not_Paid*Values_Entered,Beginning_Balance,""), "")</f>
        <v>157058524.8372016</v>
      </c>
      <c r="E173" s="394">
        <f>IFERROR(IF(Loan_Not_Paid*Values_Entered,Monthly_Payment,""), "")</f>
        <v>1270529.7872591855</v>
      </c>
      <c r="F173" s="394">
        <f>IFERROR(IF(Loan_Not_Paid*Values_Entered,Principal,""), "")</f>
        <v>419796.11105768027</v>
      </c>
      <c r="G173" s="394">
        <f>IFERROR(IF(Loan_Not_Paid*Values_Entered,Interest,""), "")</f>
        <v>850733.67620150512</v>
      </c>
      <c r="H173" s="394">
        <f>IFERROR(IF(Loan_Not_Paid*Values_Entered,Ending_Balance,""), "")</f>
        <v>156638728.72614396</v>
      </c>
    </row>
    <row r="174" spans="2:8">
      <c r="B174" s="396">
        <f>IFERROR(IF(Loan_Not_Paid*Values_Entered,Payment_Number,""), "")</f>
        <v>157</v>
      </c>
      <c r="C174" s="395"/>
      <c r="D174" s="394">
        <f>IFERROR(IF(Loan_Not_Paid*Values_Entered,Beginning_Balance,""), "")</f>
        <v>156638728.72614396</v>
      </c>
      <c r="E174" s="394">
        <f>IFERROR(IF(Loan_Not_Paid*Values_Entered,Monthly_Payment,""), "")</f>
        <v>1270529.7872591855</v>
      </c>
      <c r="F174" s="394">
        <f>IFERROR(IF(Loan_Not_Paid*Values_Entered,Principal,""), "")</f>
        <v>422070.00665924273</v>
      </c>
      <c r="G174" s="394">
        <f>IFERROR(IF(Loan_Not_Paid*Values_Entered,Interest,""), "")</f>
        <v>848459.78059994255</v>
      </c>
      <c r="H174" s="394">
        <f>IFERROR(IF(Loan_Not_Paid*Values_Entered,Ending_Balance,""), "")</f>
        <v>156216658.71948469</v>
      </c>
    </row>
    <row r="175" spans="2:8">
      <c r="B175" s="396">
        <f>IFERROR(IF(Loan_Not_Paid*Values_Entered,Payment_Number,""), "")</f>
        <v>158</v>
      </c>
      <c r="C175" s="395"/>
      <c r="D175" s="394">
        <f>IFERROR(IF(Loan_Not_Paid*Values_Entered,Beginning_Balance,""), "")</f>
        <v>156216658.71948469</v>
      </c>
      <c r="E175" s="394">
        <f>IFERROR(IF(Loan_Not_Paid*Values_Entered,Monthly_Payment,""), "")</f>
        <v>1270529.7872591855</v>
      </c>
      <c r="F175" s="394">
        <f>IFERROR(IF(Loan_Not_Paid*Values_Entered,Principal,""), "")</f>
        <v>424356.21919531369</v>
      </c>
      <c r="G175" s="394">
        <f>IFERROR(IF(Loan_Not_Paid*Values_Entered,Interest,""), "")</f>
        <v>846173.5680638717</v>
      </c>
      <c r="H175" s="394">
        <f>IFERROR(IF(Loan_Not_Paid*Values_Entered,Ending_Balance,""), "")</f>
        <v>155792302.50028938</v>
      </c>
    </row>
    <row r="176" spans="2:8">
      <c r="B176" s="396">
        <f>IFERROR(IF(Loan_Not_Paid*Values_Entered,Payment_Number,""), "")</f>
        <v>159</v>
      </c>
      <c r="C176" s="395"/>
      <c r="D176" s="394">
        <f>IFERROR(IF(Loan_Not_Paid*Values_Entered,Beginning_Balance,""), "")</f>
        <v>155792302.50028938</v>
      </c>
      <c r="E176" s="394">
        <f>IFERROR(IF(Loan_Not_Paid*Values_Entered,Monthly_Payment,""), "")</f>
        <v>1270529.7872591855</v>
      </c>
      <c r="F176" s="394">
        <f>IFERROR(IF(Loan_Not_Paid*Values_Entered,Principal,""), "")</f>
        <v>426654.81538262172</v>
      </c>
      <c r="G176" s="394">
        <f>IFERROR(IF(Loan_Not_Paid*Values_Entered,Interest,""), "")</f>
        <v>843874.97187656374</v>
      </c>
      <c r="H176" s="394">
        <f>IFERROR(IF(Loan_Not_Paid*Values_Entered,Ending_Balance,""), "")</f>
        <v>155365647.68490672</v>
      </c>
    </row>
    <row r="177" spans="2:8">
      <c r="B177" s="396">
        <f>IFERROR(IF(Loan_Not_Paid*Values_Entered,Payment_Number,""), "")</f>
        <v>160</v>
      </c>
      <c r="C177" s="395"/>
      <c r="D177" s="394">
        <f>IFERROR(IF(Loan_Not_Paid*Values_Entered,Beginning_Balance,""), "")</f>
        <v>155365647.68490672</v>
      </c>
      <c r="E177" s="394">
        <f>IFERROR(IF(Loan_Not_Paid*Values_Entered,Monthly_Payment,""), "")</f>
        <v>1270529.7872591855</v>
      </c>
      <c r="F177" s="394">
        <f>IFERROR(IF(Loan_Not_Paid*Values_Entered,Principal,""), "")</f>
        <v>428965.86229927756</v>
      </c>
      <c r="G177" s="394">
        <f>IFERROR(IF(Loan_Not_Paid*Values_Entered,Interest,""), "")</f>
        <v>841563.92495990789</v>
      </c>
      <c r="H177" s="394">
        <f>IFERROR(IF(Loan_Not_Paid*Values_Entered,Ending_Balance,""), "")</f>
        <v>154936681.82260752</v>
      </c>
    </row>
    <row r="178" spans="2:8">
      <c r="B178" s="396">
        <f>IFERROR(IF(Loan_Not_Paid*Values_Entered,Payment_Number,""), "")</f>
        <v>161</v>
      </c>
      <c r="C178" s="395"/>
      <c r="D178" s="394">
        <f>IFERROR(IF(Loan_Not_Paid*Values_Entered,Beginning_Balance,""), "")</f>
        <v>154936681.82260752</v>
      </c>
      <c r="E178" s="394">
        <f>IFERROR(IF(Loan_Not_Paid*Values_Entered,Monthly_Payment,""), "")</f>
        <v>1270529.7872591855</v>
      </c>
      <c r="F178" s="394">
        <f>IFERROR(IF(Loan_Not_Paid*Values_Entered,Principal,""), "")</f>
        <v>431289.42738673196</v>
      </c>
      <c r="G178" s="394">
        <f>IFERROR(IF(Loan_Not_Paid*Values_Entered,Interest,""), "")</f>
        <v>839240.35987245338</v>
      </c>
      <c r="H178" s="394">
        <f>IFERROR(IF(Loan_Not_Paid*Values_Entered,Ending_Balance,""), "")</f>
        <v>154505392.39522076</v>
      </c>
    </row>
    <row r="179" spans="2:8">
      <c r="B179" s="396">
        <f>IFERROR(IF(Loan_Not_Paid*Values_Entered,Payment_Number,""), "")</f>
        <v>162</v>
      </c>
      <c r="C179" s="395"/>
      <c r="D179" s="394">
        <f>IFERROR(IF(Loan_Not_Paid*Values_Entered,Beginning_Balance,""), "")</f>
        <v>154505392.39522076</v>
      </c>
      <c r="E179" s="394">
        <f>IFERROR(IF(Loan_Not_Paid*Values_Entered,Monthly_Payment,""), "")</f>
        <v>1270529.7872591855</v>
      </c>
      <c r="F179" s="394">
        <f>IFERROR(IF(Loan_Not_Paid*Values_Entered,Principal,""), "")</f>
        <v>433625.57845174341</v>
      </c>
      <c r="G179" s="394">
        <f>IFERROR(IF(Loan_Not_Paid*Values_Entered,Interest,""), "")</f>
        <v>836904.20880744187</v>
      </c>
      <c r="H179" s="394">
        <f>IFERROR(IF(Loan_Not_Paid*Values_Entered,Ending_Balance,""), "")</f>
        <v>154071766.816769</v>
      </c>
    </row>
    <row r="180" spans="2:8">
      <c r="B180" s="396">
        <f>IFERROR(IF(Loan_Not_Paid*Values_Entered,Payment_Number,""), "")</f>
        <v>163</v>
      </c>
      <c r="C180" s="395"/>
      <c r="D180" s="394">
        <f>IFERROR(IF(Loan_Not_Paid*Values_Entered,Beginning_Balance,""), "")</f>
        <v>154071766.816769</v>
      </c>
      <c r="E180" s="394">
        <f>IFERROR(IF(Loan_Not_Paid*Values_Entered,Monthly_Payment,""), "")</f>
        <v>1270529.7872591855</v>
      </c>
      <c r="F180" s="394">
        <f>IFERROR(IF(Loan_Not_Paid*Values_Entered,Principal,""), "")</f>
        <v>435974.3836683571</v>
      </c>
      <c r="G180" s="394">
        <f>IFERROR(IF(Loan_Not_Paid*Values_Entered,Interest,""), "")</f>
        <v>834555.40359082841</v>
      </c>
      <c r="H180" s="394">
        <f>IFERROR(IF(Loan_Not_Paid*Values_Entered,Ending_Balance,""), "")</f>
        <v>153635792.43310064</v>
      </c>
    </row>
    <row r="181" spans="2:8">
      <c r="B181" s="396">
        <f>IFERROR(IF(Loan_Not_Paid*Values_Entered,Payment_Number,""), "")</f>
        <v>164</v>
      </c>
      <c r="C181" s="395"/>
      <c r="D181" s="394">
        <f>IFERROR(IF(Loan_Not_Paid*Values_Entered,Beginning_Balance,""), "")</f>
        <v>153635792.43310064</v>
      </c>
      <c r="E181" s="394">
        <f>IFERROR(IF(Loan_Not_Paid*Values_Entered,Monthly_Payment,""), "")</f>
        <v>1270529.7872591855</v>
      </c>
      <c r="F181" s="394">
        <f>IFERROR(IF(Loan_Not_Paid*Values_Entered,Principal,""), "")</f>
        <v>438335.91157989396</v>
      </c>
      <c r="G181" s="394">
        <f>IFERROR(IF(Loan_Not_Paid*Values_Entered,Interest,""), "")</f>
        <v>832193.87567929144</v>
      </c>
      <c r="H181" s="394">
        <f>IFERROR(IF(Loan_Not_Paid*Values_Entered,Ending_Balance,""), "")</f>
        <v>153197456.52152073</v>
      </c>
    </row>
    <row r="182" spans="2:8">
      <c r="B182" s="396">
        <f>IFERROR(IF(Loan_Not_Paid*Values_Entered,Payment_Number,""), "")</f>
        <v>165</v>
      </c>
      <c r="C182" s="395"/>
      <c r="D182" s="394">
        <f>IFERROR(IF(Loan_Not_Paid*Values_Entered,Beginning_Balance,""), "")</f>
        <v>153197456.52152073</v>
      </c>
      <c r="E182" s="394">
        <f>IFERROR(IF(Loan_Not_Paid*Values_Entered,Monthly_Payment,""), "")</f>
        <v>1270529.7872591855</v>
      </c>
      <c r="F182" s="394">
        <f>IFERROR(IF(Loan_Not_Paid*Values_Entered,Principal,""), "")</f>
        <v>440710.23110095173</v>
      </c>
      <c r="G182" s="394">
        <f>IFERROR(IF(Loan_Not_Paid*Values_Entered,Interest,""), "")</f>
        <v>829819.55615823367</v>
      </c>
      <c r="H182" s="394">
        <f>IFERROR(IF(Loan_Not_Paid*Values_Entered,Ending_Balance,""), "")</f>
        <v>152756746.29041994</v>
      </c>
    </row>
    <row r="183" spans="2:8">
      <c r="B183" s="396">
        <f>IFERROR(IF(Loan_Not_Paid*Values_Entered,Payment_Number,""), "")</f>
        <v>166</v>
      </c>
      <c r="C183" s="395"/>
      <c r="D183" s="394">
        <f>IFERROR(IF(Loan_Not_Paid*Values_Entered,Beginning_Balance,""), "")</f>
        <v>152756746.29041994</v>
      </c>
      <c r="E183" s="394">
        <f>IFERROR(IF(Loan_Not_Paid*Values_Entered,Monthly_Payment,""), "")</f>
        <v>1270529.7872591855</v>
      </c>
      <c r="F183" s="394">
        <f>IFERROR(IF(Loan_Not_Paid*Values_Entered,Principal,""), "")</f>
        <v>443097.41151941515</v>
      </c>
      <c r="G183" s="394">
        <f>IFERROR(IF(Loan_Not_Paid*Values_Entered,Interest,""), "")</f>
        <v>827432.37573977036</v>
      </c>
      <c r="H183" s="394">
        <f>IFERROR(IF(Loan_Not_Paid*Values_Entered,Ending_Balance,""), "")</f>
        <v>152313648.87890047</v>
      </c>
    </row>
    <row r="184" spans="2:8">
      <c r="B184" s="396">
        <f>IFERROR(IF(Loan_Not_Paid*Values_Entered,Payment_Number,""), "")</f>
        <v>167</v>
      </c>
      <c r="C184" s="395"/>
      <c r="D184" s="394">
        <f>IFERROR(IF(Loan_Not_Paid*Values_Entered,Beginning_Balance,""), "")</f>
        <v>152313648.87890047</v>
      </c>
      <c r="E184" s="394">
        <f>IFERROR(IF(Loan_Not_Paid*Values_Entered,Monthly_Payment,""), "")</f>
        <v>1270529.7872591855</v>
      </c>
      <c r="F184" s="394">
        <f>IFERROR(IF(Loan_Not_Paid*Values_Entered,Principal,""), "")</f>
        <v>445497.52249847871</v>
      </c>
      <c r="G184" s="394">
        <f>IFERROR(IF(Loan_Not_Paid*Values_Entered,Interest,""), "")</f>
        <v>825032.26476070669</v>
      </c>
      <c r="H184" s="394">
        <f>IFERROR(IF(Loan_Not_Paid*Values_Entered,Ending_Balance,""), "")</f>
        <v>151868151.35640198</v>
      </c>
    </row>
    <row r="185" spans="2:8">
      <c r="B185" s="396">
        <f>IFERROR(IF(Loan_Not_Paid*Values_Entered,Payment_Number,""), "")</f>
        <v>168</v>
      </c>
      <c r="C185" s="395"/>
      <c r="D185" s="394">
        <f>IFERROR(IF(Loan_Not_Paid*Values_Entered,Beginning_Balance,""), "")</f>
        <v>151868151.35640198</v>
      </c>
      <c r="E185" s="394">
        <f>IFERROR(IF(Loan_Not_Paid*Values_Entered,Monthly_Payment,""), "")</f>
        <v>1270529.7872591855</v>
      </c>
      <c r="F185" s="394">
        <f>IFERROR(IF(Loan_Not_Paid*Values_Entered,Principal,""), "")</f>
        <v>447910.63407867879</v>
      </c>
      <c r="G185" s="394">
        <f>IFERROR(IF(Loan_Not_Paid*Values_Entered,Interest,""), "")</f>
        <v>822619.15318050666</v>
      </c>
      <c r="H185" s="394">
        <f>IFERROR(IF(Loan_Not_Paid*Values_Entered,Ending_Balance,""), "")</f>
        <v>151420240.72232336</v>
      </c>
    </row>
    <row r="186" spans="2:8">
      <c r="B186" s="396">
        <f>IFERROR(IF(Loan_Not_Paid*Values_Entered,Payment_Number,""), "")</f>
        <v>169</v>
      </c>
      <c r="C186" s="395"/>
      <c r="D186" s="394">
        <f>IFERROR(IF(Loan_Not_Paid*Values_Entered,Beginning_Balance,""), "")</f>
        <v>151420240.72232336</v>
      </c>
      <c r="E186" s="394">
        <f>IFERROR(IF(Loan_Not_Paid*Values_Entered,Monthly_Payment,""), "")</f>
        <v>1270529.7872591855</v>
      </c>
      <c r="F186" s="394">
        <f>IFERROR(IF(Loan_Not_Paid*Values_Entered,Principal,""), "")</f>
        <v>450336.81667993829</v>
      </c>
      <c r="G186" s="394">
        <f>IFERROR(IF(Loan_Not_Paid*Values_Entered,Interest,""), "")</f>
        <v>820192.97057924699</v>
      </c>
      <c r="H186" s="394">
        <f>IFERROR(IF(Loan_Not_Paid*Values_Entered,Ending_Balance,""), "")</f>
        <v>150969903.9056434</v>
      </c>
    </row>
    <row r="187" spans="2:8">
      <c r="B187" s="396">
        <f>IFERROR(IF(Loan_Not_Paid*Values_Entered,Payment_Number,""), "")</f>
        <v>170</v>
      </c>
      <c r="C187" s="395"/>
      <c r="D187" s="394">
        <f>IFERROR(IF(Loan_Not_Paid*Values_Entered,Beginning_Balance,""), "")</f>
        <v>150969903.9056434</v>
      </c>
      <c r="E187" s="394">
        <f>IFERROR(IF(Loan_Not_Paid*Values_Entered,Monthly_Payment,""), "")</f>
        <v>1270529.7872591855</v>
      </c>
      <c r="F187" s="394">
        <f>IFERROR(IF(Loan_Not_Paid*Values_Entered,Principal,""), "")</f>
        <v>452776.14110362134</v>
      </c>
      <c r="G187" s="394">
        <f>IFERROR(IF(Loan_Not_Paid*Values_Entered,Interest,""), "")</f>
        <v>817753.64615556411</v>
      </c>
      <c r="H187" s="394">
        <f>IFERROR(IF(Loan_Not_Paid*Values_Entered,Ending_Balance,""), "")</f>
        <v>150517127.76453978</v>
      </c>
    </row>
    <row r="188" spans="2:8">
      <c r="B188" s="396">
        <f>IFERROR(IF(Loan_Not_Paid*Values_Entered,Payment_Number,""), "")</f>
        <v>171</v>
      </c>
      <c r="C188" s="395"/>
      <c r="D188" s="394">
        <f>IFERROR(IF(Loan_Not_Paid*Values_Entered,Beginning_Balance,""), "")</f>
        <v>150517127.76453978</v>
      </c>
      <c r="E188" s="394">
        <f>IFERROR(IF(Loan_Not_Paid*Values_Entered,Monthly_Payment,""), "")</f>
        <v>1270529.7872591855</v>
      </c>
      <c r="F188" s="394">
        <f>IFERROR(IF(Loan_Not_Paid*Values_Entered,Principal,""), "")</f>
        <v>455228.6785345992</v>
      </c>
      <c r="G188" s="394">
        <f>IFERROR(IF(Loan_Not_Paid*Values_Entered,Interest,""), "")</f>
        <v>815301.10872458632</v>
      </c>
      <c r="H188" s="394">
        <f>IFERROR(IF(Loan_Not_Paid*Values_Entered,Ending_Balance,""), "")</f>
        <v>150061899.08600521</v>
      </c>
    </row>
    <row r="189" spans="2:8">
      <c r="B189" s="396">
        <f>IFERROR(IF(Loan_Not_Paid*Values_Entered,Payment_Number,""), "")</f>
        <v>172</v>
      </c>
      <c r="C189" s="395"/>
      <c r="D189" s="394">
        <f>IFERROR(IF(Loan_Not_Paid*Values_Entered,Beginning_Balance,""), "")</f>
        <v>150061899.08600521</v>
      </c>
      <c r="E189" s="394">
        <f>IFERROR(IF(Loan_Not_Paid*Values_Entered,Monthly_Payment,""), "")</f>
        <v>1270529.7872591855</v>
      </c>
      <c r="F189" s="394">
        <f>IFERROR(IF(Loan_Not_Paid*Values_Entered,Principal,""), "")</f>
        <v>457694.50054332835</v>
      </c>
      <c r="G189" s="394">
        <f>IFERROR(IF(Loan_Not_Paid*Values_Entered,Interest,""), "")</f>
        <v>812835.2867158571</v>
      </c>
      <c r="H189" s="394">
        <f>IFERROR(IF(Loan_Not_Paid*Values_Entered,Ending_Balance,""), "")</f>
        <v>149604204.58546185</v>
      </c>
    </row>
    <row r="190" spans="2:8">
      <c r="B190" s="396">
        <f>IFERROR(IF(Loan_Not_Paid*Values_Entered,Payment_Number,""), "")</f>
        <v>173</v>
      </c>
      <c r="C190" s="395"/>
      <c r="D190" s="394">
        <f>IFERROR(IF(Loan_Not_Paid*Values_Entered,Beginning_Balance,""), "")</f>
        <v>149604204.58546185</v>
      </c>
      <c r="E190" s="394">
        <f>IFERROR(IF(Loan_Not_Paid*Values_Entered,Monthly_Payment,""), "")</f>
        <v>1270529.7872591855</v>
      </c>
      <c r="F190" s="394">
        <f>IFERROR(IF(Loan_Not_Paid*Values_Entered,Principal,""), "")</f>
        <v>460173.67908793804</v>
      </c>
      <c r="G190" s="394">
        <f>IFERROR(IF(Loan_Not_Paid*Values_Entered,Interest,""), "")</f>
        <v>810356.10817124741</v>
      </c>
      <c r="H190" s="394">
        <f>IFERROR(IF(Loan_Not_Paid*Values_Entered,Ending_Balance,""), "")</f>
        <v>149144030.90637398</v>
      </c>
    </row>
    <row r="191" spans="2:8">
      <c r="B191" s="396">
        <f>IFERROR(IF(Loan_Not_Paid*Values_Entered,Payment_Number,""), "")</f>
        <v>174</v>
      </c>
      <c r="C191" s="395"/>
      <c r="D191" s="394">
        <f>IFERROR(IF(Loan_Not_Paid*Values_Entered,Beginning_Balance,""), "")</f>
        <v>149144030.90637398</v>
      </c>
      <c r="E191" s="394">
        <f>IFERROR(IF(Loan_Not_Paid*Values_Entered,Monthly_Payment,""), "")</f>
        <v>1270529.7872591855</v>
      </c>
      <c r="F191" s="394">
        <f>IFERROR(IF(Loan_Not_Paid*Values_Entered,Principal,""), "")</f>
        <v>462666.28651633102</v>
      </c>
      <c r="G191" s="394">
        <f>IFERROR(IF(Loan_Not_Paid*Values_Entered,Interest,""), "")</f>
        <v>807863.50074285443</v>
      </c>
      <c r="H191" s="394">
        <f>IFERROR(IF(Loan_Not_Paid*Values_Entered,Ending_Balance,""), "")</f>
        <v>148681364.61985761</v>
      </c>
    </row>
    <row r="192" spans="2:8">
      <c r="B192" s="396">
        <f>IFERROR(IF(Loan_Not_Paid*Values_Entered,Payment_Number,""), "")</f>
        <v>175</v>
      </c>
      <c r="C192" s="395"/>
      <c r="D192" s="394">
        <f>IFERROR(IF(Loan_Not_Paid*Values_Entered,Beginning_Balance,""), "")</f>
        <v>148681364.61985761</v>
      </c>
      <c r="E192" s="394">
        <f>IFERROR(IF(Loan_Not_Paid*Values_Entered,Monthly_Payment,""), "")</f>
        <v>1270529.7872591855</v>
      </c>
      <c r="F192" s="394">
        <f>IFERROR(IF(Loan_Not_Paid*Values_Entered,Principal,""), "")</f>
        <v>465172.39556829451</v>
      </c>
      <c r="G192" s="394">
        <f>IFERROR(IF(Loan_Not_Paid*Values_Entered,Interest,""), "")</f>
        <v>805357.39169089089</v>
      </c>
      <c r="H192" s="394">
        <f>IFERROR(IF(Loan_Not_Paid*Values_Entered,Ending_Balance,""), "")</f>
        <v>148216192.22428936</v>
      </c>
    </row>
    <row r="193" spans="2:8">
      <c r="B193" s="396">
        <f>IFERROR(IF(Loan_Not_Paid*Values_Entered,Payment_Number,""), "")</f>
        <v>176</v>
      </c>
      <c r="C193" s="395"/>
      <c r="D193" s="394">
        <f>IFERROR(IF(Loan_Not_Paid*Values_Entered,Beginning_Balance,""), "")</f>
        <v>148216192.22428936</v>
      </c>
      <c r="E193" s="394">
        <f>IFERROR(IF(Loan_Not_Paid*Values_Entered,Monthly_Payment,""), "")</f>
        <v>1270529.7872591855</v>
      </c>
      <c r="F193" s="394">
        <f>IFERROR(IF(Loan_Not_Paid*Values_Entered,Principal,""), "")</f>
        <v>467692.07937762281</v>
      </c>
      <c r="G193" s="394">
        <f>IFERROR(IF(Loan_Not_Paid*Values_Entered,Interest,""), "")</f>
        <v>802837.70788156253</v>
      </c>
      <c r="H193" s="394">
        <f>IFERROR(IF(Loan_Not_Paid*Values_Entered,Ending_Balance,""), "")</f>
        <v>147748500.14491171</v>
      </c>
    </row>
    <row r="194" spans="2:8">
      <c r="B194" s="396">
        <f>IFERROR(IF(Loan_Not_Paid*Values_Entered,Payment_Number,""), "")</f>
        <v>177</v>
      </c>
      <c r="C194" s="395"/>
      <c r="D194" s="394">
        <f>IFERROR(IF(Loan_Not_Paid*Values_Entered,Beginning_Balance,""), "")</f>
        <v>147748500.14491171</v>
      </c>
      <c r="E194" s="394">
        <f>IFERROR(IF(Loan_Not_Paid*Values_Entered,Monthly_Payment,""), "")</f>
        <v>1270529.7872591855</v>
      </c>
      <c r="F194" s="394">
        <f>IFERROR(IF(Loan_Not_Paid*Values_Entered,Principal,""), "")</f>
        <v>470225.4114742516</v>
      </c>
      <c r="G194" s="394">
        <f>IFERROR(IF(Loan_Not_Paid*Values_Entered,Interest,""), "")</f>
        <v>800304.37578493392</v>
      </c>
      <c r="H194" s="394">
        <f>IFERROR(IF(Loan_Not_Paid*Values_Entered,Ending_Balance,""), "")</f>
        <v>147278274.73343742</v>
      </c>
    </row>
    <row r="195" spans="2:8">
      <c r="B195" s="396">
        <f>IFERROR(IF(Loan_Not_Paid*Values_Entered,Payment_Number,""), "")</f>
        <v>178</v>
      </c>
      <c r="C195" s="395"/>
      <c r="D195" s="394">
        <f>IFERROR(IF(Loan_Not_Paid*Values_Entered,Beginning_Balance,""), "")</f>
        <v>147278274.73343742</v>
      </c>
      <c r="E195" s="394">
        <f>IFERROR(IF(Loan_Not_Paid*Values_Entered,Monthly_Payment,""), "")</f>
        <v>1270529.7872591855</v>
      </c>
      <c r="F195" s="394">
        <f>IFERROR(IF(Loan_Not_Paid*Values_Entered,Principal,""), "")</f>
        <v>472772.46578640374</v>
      </c>
      <c r="G195" s="394">
        <f>IFERROR(IF(Loan_Not_Paid*Values_Entered,Interest,""), "")</f>
        <v>797757.32147278171</v>
      </c>
      <c r="H195" s="394">
        <f>IFERROR(IF(Loan_Not_Paid*Values_Entered,Ending_Balance,""), "")</f>
        <v>146805502.26765108</v>
      </c>
    </row>
    <row r="196" spans="2:8">
      <c r="B196" s="396">
        <f>IFERROR(IF(Loan_Not_Paid*Values_Entered,Payment_Number,""), "")</f>
        <v>179</v>
      </c>
      <c r="C196" s="395"/>
      <c r="D196" s="394">
        <f>IFERROR(IF(Loan_Not_Paid*Values_Entered,Beginning_Balance,""), "")</f>
        <v>146805502.26765108</v>
      </c>
      <c r="E196" s="394">
        <f>IFERROR(IF(Loan_Not_Paid*Values_Entered,Monthly_Payment,""), "")</f>
        <v>1270529.7872591855</v>
      </c>
      <c r="F196" s="394">
        <f>IFERROR(IF(Loan_Not_Paid*Values_Entered,Principal,""), "")</f>
        <v>475333.31664274674</v>
      </c>
      <c r="G196" s="394">
        <f>IFERROR(IF(Loan_Not_Paid*Values_Entered,Interest,""), "")</f>
        <v>795196.47061643866</v>
      </c>
      <c r="H196" s="394">
        <f>IFERROR(IF(Loan_Not_Paid*Values_Entered,Ending_Balance,""), "")</f>
        <v>146330168.95100832</v>
      </c>
    </row>
    <row r="197" spans="2:8">
      <c r="B197" s="396">
        <f>IFERROR(IF(Loan_Not_Paid*Values_Entered,Payment_Number,""), "")</f>
        <v>180</v>
      </c>
      <c r="C197" s="395"/>
      <c r="D197" s="394">
        <f>IFERROR(IF(Loan_Not_Paid*Values_Entered,Beginning_Balance,""), "")</f>
        <v>146330168.95100832</v>
      </c>
      <c r="E197" s="394">
        <f>IFERROR(IF(Loan_Not_Paid*Values_Entered,Monthly_Payment,""), "")</f>
        <v>1270529.7872591855</v>
      </c>
      <c r="F197" s="394">
        <f>IFERROR(IF(Loan_Not_Paid*Values_Entered,Principal,""), "")</f>
        <v>477908.03877456166</v>
      </c>
      <c r="G197" s="394">
        <f>IFERROR(IF(Loan_Not_Paid*Values_Entered,Interest,""), "")</f>
        <v>792621.74848462373</v>
      </c>
      <c r="H197" s="394">
        <f>IFERROR(IF(Loan_Not_Paid*Values_Entered,Ending_Balance,""), "")</f>
        <v>145852260.91223377</v>
      </c>
    </row>
    <row r="198" spans="2:8">
      <c r="B198" s="396">
        <f>IFERROR(IF(Loan_Not_Paid*Values_Entered,Payment_Number,""), "")</f>
        <v>181</v>
      </c>
      <c r="C198" s="395"/>
      <c r="D198" s="394">
        <f>IFERROR(IF(Loan_Not_Paid*Values_Entered,Beginning_Balance,""), "")</f>
        <v>145852260.91223377</v>
      </c>
      <c r="E198" s="394">
        <f>IFERROR(IF(Loan_Not_Paid*Values_Entered,Monthly_Payment,""), "")</f>
        <v>1270529.7872591855</v>
      </c>
      <c r="F198" s="394">
        <f>IFERROR(IF(Loan_Not_Paid*Values_Entered,Principal,""), "")</f>
        <v>480496.70731792389</v>
      </c>
      <c r="G198" s="394">
        <f>IFERROR(IF(Loan_Not_Paid*Values_Entered,Interest,""), "")</f>
        <v>790033.07994126144</v>
      </c>
      <c r="H198" s="394">
        <f>IFERROR(IF(Loan_Not_Paid*Values_Entered,Ending_Balance,""), "")</f>
        <v>145371764.20491588</v>
      </c>
    </row>
    <row r="199" spans="2:8">
      <c r="B199" s="396">
        <f>IFERROR(IF(Loan_Not_Paid*Values_Entered,Payment_Number,""), "")</f>
        <v>182</v>
      </c>
      <c r="C199" s="395"/>
      <c r="D199" s="394">
        <f>IFERROR(IF(Loan_Not_Paid*Values_Entered,Beginning_Balance,""), "")</f>
        <v>145371764.20491588</v>
      </c>
      <c r="E199" s="394">
        <f>IFERROR(IF(Loan_Not_Paid*Values_Entered,Monthly_Payment,""), "")</f>
        <v>1270529.7872591855</v>
      </c>
      <c r="F199" s="394">
        <f>IFERROR(IF(Loan_Not_Paid*Values_Entered,Principal,""), "")</f>
        <v>483099.39781589597</v>
      </c>
      <c r="G199" s="394">
        <f>IFERROR(IF(Loan_Not_Paid*Values_Entered,Interest,""), "")</f>
        <v>787430.38944328949</v>
      </c>
      <c r="H199" s="394">
        <f>IFERROR(IF(Loan_Not_Paid*Values_Entered,Ending_Balance,""), "")</f>
        <v>144888664.8071</v>
      </c>
    </row>
    <row r="200" spans="2:8">
      <c r="B200" s="396">
        <f>IFERROR(IF(Loan_Not_Paid*Values_Entered,Payment_Number,""), "")</f>
        <v>183</v>
      </c>
      <c r="C200" s="395"/>
      <c r="D200" s="394">
        <f>IFERROR(IF(Loan_Not_Paid*Values_Entered,Beginning_Balance,""), "")</f>
        <v>144888664.8071</v>
      </c>
      <c r="E200" s="394">
        <f>IFERROR(IF(Loan_Not_Paid*Values_Entered,Monthly_Payment,""), "")</f>
        <v>1270529.7872591855</v>
      </c>
      <c r="F200" s="394">
        <f>IFERROR(IF(Loan_Not_Paid*Values_Entered,Principal,""), "")</f>
        <v>485716.18622073199</v>
      </c>
      <c r="G200" s="394">
        <f>IFERROR(IF(Loan_Not_Paid*Values_Entered,Interest,""), "")</f>
        <v>784813.60103845317</v>
      </c>
      <c r="H200" s="394">
        <f>IFERROR(IF(Loan_Not_Paid*Values_Entered,Ending_Balance,""), "")</f>
        <v>144402948.62087929</v>
      </c>
    </row>
    <row r="201" spans="2:8">
      <c r="B201" s="396">
        <f>IFERROR(IF(Loan_Not_Paid*Values_Entered,Payment_Number,""), "")</f>
        <v>184</v>
      </c>
      <c r="C201" s="395"/>
      <c r="D201" s="394">
        <f>IFERROR(IF(Loan_Not_Paid*Values_Entered,Beginning_Balance,""), "")</f>
        <v>144402948.62087929</v>
      </c>
      <c r="E201" s="394">
        <f>IFERROR(IF(Loan_Not_Paid*Values_Entered,Monthly_Payment,""), "")</f>
        <v>1270529.7872591855</v>
      </c>
      <c r="F201" s="394">
        <f>IFERROR(IF(Loan_Not_Paid*Values_Entered,Principal,""), "")</f>
        <v>488347.1488960943</v>
      </c>
      <c r="G201" s="394">
        <f>IFERROR(IF(Loan_Not_Paid*Values_Entered,Interest,""), "")</f>
        <v>782182.63836309081</v>
      </c>
      <c r="H201" s="394">
        <f>IFERROR(IF(Loan_Not_Paid*Values_Entered,Ending_Balance,""), "")</f>
        <v>143914601.47198313</v>
      </c>
    </row>
    <row r="202" spans="2:8">
      <c r="B202" s="396">
        <f>IFERROR(IF(Loan_Not_Paid*Values_Entered,Payment_Number,""), "")</f>
        <v>185</v>
      </c>
      <c r="C202" s="395"/>
      <c r="D202" s="394">
        <f>IFERROR(IF(Loan_Not_Paid*Values_Entered,Beginning_Balance,""), "")</f>
        <v>143914601.47198313</v>
      </c>
      <c r="E202" s="394">
        <f>IFERROR(IF(Loan_Not_Paid*Values_Entered,Monthly_Payment,""), "")</f>
        <v>1270529.7872591855</v>
      </c>
      <c r="F202" s="394">
        <f>IFERROR(IF(Loan_Not_Paid*Values_Entered,Principal,""), "")</f>
        <v>490992.36261928157</v>
      </c>
      <c r="G202" s="394">
        <f>IFERROR(IF(Loan_Not_Paid*Values_Entered,Interest,""), "")</f>
        <v>779537.42463990382</v>
      </c>
      <c r="H202" s="394">
        <f>IFERROR(IF(Loan_Not_Paid*Values_Entered,Ending_Balance,""), "")</f>
        <v>143423609.10936397</v>
      </c>
    </row>
    <row r="203" spans="2:8">
      <c r="B203" s="396">
        <f>IFERROR(IF(Loan_Not_Paid*Values_Entered,Payment_Number,""), "")</f>
        <v>186</v>
      </c>
      <c r="C203" s="395"/>
      <c r="D203" s="394">
        <f>IFERROR(IF(Loan_Not_Paid*Values_Entered,Beginning_Balance,""), "")</f>
        <v>143423609.10936397</v>
      </c>
      <c r="E203" s="394">
        <f>IFERROR(IF(Loan_Not_Paid*Values_Entered,Monthly_Payment,""), "")</f>
        <v>1270529.7872591855</v>
      </c>
      <c r="F203" s="394">
        <f>IFERROR(IF(Loan_Not_Paid*Values_Entered,Principal,""), "")</f>
        <v>493651.90458346927</v>
      </c>
      <c r="G203" s="394">
        <f>IFERROR(IF(Loan_Not_Paid*Values_Entered,Interest,""), "")</f>
        <v>776877.88267571607</v>
      </c>
      <c r="H203" s="394">
        <f>IFERROR(IF(Loan_Not_Paid*Values_Entered,Ending_Balance,""), "")</f>
        <v>142929957.20478046</v>
      </c>
    </row>
    <row r="204" spans="2:8">
      <c r="B204" s="396">
        <f>IFERROR(IF(Loan_Not_Paid*Values_Entered,Payment_Number,""), "")</f>
        <v>187</v>
      </c>
      <c r="C204" s="395"/>
      <c r="D204" s="394">
        <f>IFERROR(IF(Loan_Not_Paid*Values_Entered,Beginning_Balance,""), "")</f>
        <v>142929957.20478046</v>
      </c>
      <c r="E204" s="394">
        <f>IFERROR(IF(Loan_Not_Paid*Values_Entered,Monthly_Payment,""), "")</f>
        <v>1270529.7872591855</v>
      </c>
      <c r="F204" s="394">
        <f>IFERROR(IF(Loan_Not_Paid*Values_Entered,Principal,""), "")</f>
        <v>496325.85239996307</v>
      </c>
      <c r="G204" s="394">
        <f>IFERROR(IF(Loan_Not_Paid*Values_Entered,Interest,""), "")</f>
        <v>774203.9348592225</v>
      </c>
      <c r="H204" s="394">
        <f>IFERROR(IF(Loan_Not_Paid*Values_Entered,Ending_Balance,""), "")</f>
        <v>142433631.35238045</v>
      </c>
    </row>
    <row r="205" spans="2:8">
      <c r="B205" s="396">
        <f>IFERROR(IF(Loan_Not_Paid*Values_Entered,Payment_Number,""), "")</f>
        <v>188</v>
      </c>
      <c r="C205" s="395"/>
      <c r="D205" s="394">
        <f>IFERROR(IF(Loan_Not_Paid*Values_Entered,Beginning_Balance,""), "")</f>
        <v>142433631.35238045</v>
      </c>
      <c r="E205" s="394">
        <f>IFERROR(IF(Loan_Not_Paid*Values_Entered,Monthly_Payment,""), "")</f>
        <v>1270529.7872591855</v>
      </c>
      <c r="F205" s="394">
        <f>IFERROR(IF(Loan_Not_Paid*Values_Entered,Principal,""), "")</f>
        <v>499014.28410046292</v>
      </c>
      <c r="G205" s="394">
        <f>IFERROR(IF(Loan_Not_Paid*Values_Entered,Interest,""), "")</f>
        <v>771515.50315872254</v>
      </c>
      <c r="H205" s="394">
        <f>IFERROR(IF(Loan_Not_Paid*Values_Entered,Ending_Balance,""), "")</f>
        <v>141934617.06828004</v>
      </c>
    </row>
    <row r="206" spans="2:8">
      <c r="B206" s="396">
        <f>IFERROR(IF(Loan_Not_Paid*Values_Entered,Payment_Number,""), "")</f>
        <v>189</v>
      </c>
      <c r="C206" s="395"/>
      <c r="D206" s="394">
        <f>IFERROR(IF(Loan_Not_Paid*Values_Entered,Beginning_Balance,""), "")</f>
        <v>141934617.06828004</v>
      </c>
      <c r="E206" s="394">
        <f>IFERROR(IF(Loan_Not_Paid*Values_Entered,Monthly_Payment,""), "")</f>
        <v>1270529.7872591855</v>
      </c>
      <c r="F206" s="394">
        <f>IFERROR(IF(Loan_Not_Paid*Values_Entered,Principal,""), "")</f>
        <v>501717.27813934034</v>
      </c>
      <c r="G206" s="394">
        <f>IFERROR(IF(Loan_Not_Paid*Values_Entered,Interest,""), "")</f>
        <v>768812.50911984488</v>
      </c>
      <c r="H206" s="394">
        <f>IFERROR(IF(Loan_Not_Paid*Values_Entered,Ending_Balance,""), "")</f>
        <v>141432899.79014081</v>
      </c>
    </row>
    <row r="207" spans="2:8">
      <c r="B207" s="396">
        <f>IFERROR(IF(Loan_Not_Paid*Values_Entered,Payment_Number,""), "")</f>
        <v>190</v>
      </c>
      <c r="C207" s="395"/>
      <c r="D207" s="394">
        <f>IFERROR(IF(Loan_Not_Paid*Values_Entered,Beginning_Balance,""), "")</f>
        <v>141432899.79014081</v>
      </c>
      <c r="E207" s="394">
        <f>IFERROR(IF(Loan_Not_Paid*Values_Entered,Monthly_Payment,""), "")</f>
        <v>1270529.7872591855</v>
      </c>
      <c r="F207" s="394">
        <f>IFERROR(IF(Loan_Not_Paid*Values_Entered,Principal,""), "")</f>
        <v>504434.91339592851</v>
      </c>
      <c r="G207" s="394">
        <f>IFERROR(IF(Loan_Not_Paid*Values_Entered,Interest,""), "")</f>
        <v>766094.87386325689</v>
      </c>
      <c r="H207" s="394">
        <f>IFERROR(IF(Loan_Not_Paid*Values_Entered,Ending_Balance,""), "")</f>
        <v>140928464.87674481</v>
      </c>
    </row>
    <row r="208" spans="2:8">
      <c r="B208" s="396">
        <f>IFERROR(IF(Loan_Not_Paid*Values_Entered,Payment_Number,""), "")</f>
        <v>191</v>
      </c>
      <c r="C208" s="395"/>
      <c r="D208" s="394">
        <f>IFERROR(IF(Loan_Not_Paid*Values_Entered,Beginning_Balance,""), "")</f>
        <v>140928464.87674481</v>
      </c>
      <c r="E208" s="394">
        <f>IFERROR(IF(Loan_Not_Paid*Values_Entered,Monthly_Payment,""), "")</f>
        <v>1270529.7872591855</v>
      </c>
      <c r="F208" s="394">
        <f>IFERROR(IF(Loan_Not_Paid*Values_Entered,Principal,""), "")</f>
        <v>507167.26917682309</v>
      </c>
      <c r="G208" s="394">
        <f>IFERROR(IF(Loan_Not_Paid*Values_Entered,Interest,""), "")</f>
        <v>763362.51808236225</v>
      </c>
      <c r="H208" s="394">
        <f>IFERROR(IF(Loan_Not_Paid*Values_Entered,Ending_Balance,""), "")</f>
        <v>140421297.60756797</v>
      </c>
    </row>
    <row r="209" spans="2:8">
      <c r="B209" s="396">
        <f>IFERROR(IF(Loan_Not_Paid*Values_Entered,Payment_Number,""), "")</f>
        <v>192</v>
      </c>
      <c r="C209" s="395"/>
      <c r="D209" s="394">
        <f>IFERROR(IF(Loan_Not_Paid*Values_Entered,Beginning_Balance,""), "")</f>
        <v>140421297.60756797</v>
      </c>
      <c r="E209" s="394">
        <f>IFERROR(IF(Loan_Not_Paid*Values_Entered,Monthly_Payment,""), "")</f>
        <v>1270529.7872591855</v>
      </c>
      <c r="F209" s="394">
        <f>IFERROR(IF(Loan_Not_Paid*Values_Entered,Principal,""), "")</f>
        <v>509914.42521819758</v>
      </c>
      <c r="G209" s="394">
        <f>IFERROR(IF(Loan_Not_Paid*Values_Entered,Interest,""), "")</f>
        <v>760615.36204098782</v>
      </c>
      <c r="H209" s="394">
        <f>IFERROR(IF(Loan_Not_Paid*Values_Entered,Ending_Balance,""), "")</f>
        <v>139911383.1823498</v>
      </c>
    </row>
    <row r="210" spans="2:8">
      <c r="B210" s="396">
        <f>IFERROR(IF(Loan_Not_Paid*Values_Entered,Payment_Number,""), "")</f>
        <v>193</v>
      </c>
      <c r="C210" s="395"/>
      <c r="D210" s="394">
        <f>IFERROR(IF(Loan_Not_Paid*Values_Entered,Beginning_Balance,""), "")</f>
        <v>139911383.1823498</v>
      </c>
      <c r="E210" s="394">
        <f>IFERROR(IF(Loan_Not_Paid*Values_Entered,Monthly_Payment,""), "")</f>
        <v>1270529.7872591855</v>
      </c>
      <c r="F210" s="394">
        <f>IFERROR(IF(Loan_Not_Paid*Values_Entered,Principal,""), "")</f>
        <v>512676.46168812946</v>
      </c>
      <c r="G210" s="394">
        <f>IFERROR(IF(Loan_Not_Paid*Values_Entered,Interest,""), "")</f>
        <v>757853.32557105599</v>
      </c>
      <c r="H210" s="394">
        <f>IFERROR(IF(Loan_Not_Paid*Values_Entered,Ending_Balance,""), "")</f>
        <v>139398706.7206617</v>
      </c>
    </row>
    <row r="211" spans="2:8">
      <c r="B211" s="396">
        <f>IFERROR(IF(Loan_Not_Paid*Values_Entered,Payment_Number,""), "")</f>
        <v>194</v>
      </c>
      <c r="C211" s="395"/>
      <c r="D211" s="394">
        <f>IFERROR(IF(Loan_Not_Paid*Values_Entered,Beginning_Balance,""), "")</f>
        <v>139398706.7206617</v>
      </c>
      <c r="E211" s="394">
        <f>IFERROR(IF(Loan_Not_Paid*Values_Entered,Monthly_Payment,""), "")</f>
        <v>1270529.7872591855</v>
      </c>
      <c r="F211" s="394">
        <f>IFERROR(IF(Loan_Not_Paid*Values_Entered,Principal,""), "")</f>
        <v>515453.45918894018</v>
      </c>
      <c r="G211" s="394">
        <f>IFERROR(IF(Loan_Not_Paid*Values_Entered,Interest,""), "")</f>
        <v>755076.32807024545</v>
      </c>
      <c r="H211" s="394">
        <f>IFERROR(IF(Loan_Not_Paid*Values_Entered,Ending_Balance,""), "")</f>
        <v>138883253.26147276</v>
      </c>
    </row>
    <row r="212" spans="2:8">
      <c r="B212" s="396">
        <f>IFERROR(IF(Loan_Not_Paid*Values_Entered,Payment_Number,""), "")</f>
        <v>195</v>
      </c>
      <c r="C212" s="395"/>
      <c r="D212" s="394">
        <f>IFERROR(IF(Loan_Not_Paid*Values_Entered,Beginning_Balance,""), "")</f>
        <v>138883253.26147276</v>
      </c>
      <c r="E212" s="394">
        <f>IFERROR(IF(Loan_Not_Paid*Values_Entered,Monthly_Payment,""), "")</f>
        <v>1270529.7872591855</v>
      </c>
      <c r="F212" s="394">
        <f>IFERROR(IF(Loan_Not_Paid*Values_Entered,Principal,""), "")</f>
        <v>518245.4987595469</v>
      </c>
      <c r="G212" s="394">
        <f>IFERROR(IF(Loan_Not_Paid*Values_Entered,Interest,""), "")</f>
        <v>752284.28849963855</v>
      </c>
      <c r="H212" s="394">
        <f>IFERROR(IF(Loan_Not_Paid*Values_Entered,Ending_Balance,""), "")</f>
        <v>138365007.76271325</v>
      </c>
    </row>
    <row r="213" spans="2:8">
      <c r="B213" s="396">
        <f>IFERROR(IF(Loan_Not_Paid*Values_Entered,Payment_Number,""), "")</f>
        <v>196</v>
      </c>
      <c r="C213" s="395"/>
      <c r="D213" s="394">
        <f>IFERROR(IF(Loan_Not_Paid*Values_Entered,Beginning_Balance,""), "")</f>
        <v>138365007.76271325</v>
      </c>
      <c r="E213" s="394">
        <f>IFERROR(IF(Loan_Not_Paid*Values_Entered,Monthly_Payment,""), "")</f>
        <v>1270529.7872591855</v>
      </c>
      <c r="F213" s="394">
        <f>IFERROR(IF(Loan_Not_Paid*Values_Entered,Principal,""), "")</f>
        <v>521052.66187782778</v>
      </c>
      <c r="G213" s="394">
        <f>IFERROR(IF(Loan_Not_Paid*Values_Entered,Interest,""), "")</f>
        <v>749477.12538135762</v>
      </c>
      <c r="H213" s="394">
        <f>IFERROR(IF(Loan_Not_Paid*Values_Entered,Ending_Balance,""), "")</f>
        <v>137843955.10083544</v>
      </c>
    </row>
    <row r="214" spans="2:8">
      <c r="B214" s="396">
        <f>IFERROR(IF(Loan_Not_Paid*Values_Entered,Payment_Number,""), "")</f>
        <v>197</v>
      </c>
      <c r="C214" s="395"/>
      <c r="D214" s="394">
        <f>IFERROR(IF(Loan_Not_Paid*Values_Entered,Beginning_Balance,""), "")</f>
        <v>137843955.10083544</v>
      </c>
      <c r="E214" s="394">
        <f>IFERROR(IF(Loan_Not_Paid*Values_Entered,Monthly_Payment,""), "")</f>
        <v>1270529.7872591855</v>
      </c>
      <c r="F214" s="394">
        <f>IFERROR(IF(Loan_Not_Paid*Values_Entered,Principal,""), "")</f>
        <v>523875.03046299936</v>
      </c>
      <c r="G214" s="394">
        <f>IFERROR(IF(Loan_Not_Paid*Values_Entered,Interest,""), "")</f>
        <v>746654.75679618597</v>
      </c>
      <c r="H214" s="394">
        <f>IFERROR(IF(Loan_Not_Paid*Values_Entered,Ending_Balance,""), "")</f>
        <v>137320080.0703724</v>
      </c>
    </row>
    <row r="215" spans="2:8">
      <c r="B215" s="396">
        <f>IFERROR(IF(Loan_Not_Paid*Values_Entered,Payment_Number,""), "")</f>
        <v>198</v>
      </c>
      <c r="C215" s="395"/>
      <c r="D215" s="394">
        <f>IFERROR(IF(Loan_Not_Paid*Values_Entered,Beginning_Balance,""), "")</f>
        <v>137320080.0703724</v>
      </c>
      <c r="E215" s="394">
        <f>IFERROR(IF(Loan_Not_Paid*Values_Entered,Monthly_Payment,""), "")</f>
        <v>1270529.7872591855</v>
      </c>
      <c r="F215" s="394">
        <f>IFERROR(IF(Loan_Not_Paid*Values_Entered,Principal,""), "")</f>
        <v>526712.68687800725</v>
      </c>
      <c r="G215" s="394">
        <f>IFERROR(IF(Loan_Not_Paid*Values_Entered,Interest,""), "")</f>
        <v>743817.1003811782</v>
      </c>
      <c r="H215" s="394">
        <f>IFERROR(IF(Loan_Not_Paid*Values_Entered,Ending_Balance,""), "")</f>
        <v>136793367.38349438</v>
      </c>
    </row>
    <row r="216" spans="2:8">
      <c r="B216" s="396">
        <f>IFERROR(IF(Loan_Not_Paid*Values_Entered,Payment_Number,""), "")</f>
        <v>199</v>
      </c>
      <c r="C216" s="395"/>
      <c r="D216" s="394">
        <f>IFERROR(IF(Loan_Not_Paid*Values_Entered,Beginning_Balance,""), "")</f>
        <v>136793367.38349438</v>
      </c>
      <c r="E216" s="394">
        <f>IFERROR(IF(Loan_Not_Paid*Values_Entered,Monthly_Payment,""), "")</f>
        <v>1270529.7872591855</v>
      </c>
      <c r="F216" s="394">
        <f>IFERROR(IF(Loan_Not_Paid*Values_Entered,Principal,""), "")</f>
        <v>529565.71393192979</v>
      </c>
      <c r="G216" s="394">
        <f>IFERROR(IF(Loan_Not_Paid*Values_Entered,Interest,""), "")</f>
        <v>740964.07332725578</v>
      </c>
      <c r="H216" s="394">
        <f>IFERROR(IF(Loan_Not_Paid*Values_Entered,Ending_Balance,""), "")</f>
        <v>136263801.66956252</v>
      </c>
    </row>
    <row r="217" spans="2:8">
      <c r="B217" s="396">
        <f>IFERROR(IF(Loan_Not_Paid*Values_Entered,Payment_Number,""), "")</f>
        <v>200</v>
      </c>
      <c r="C217" s="395"/>
      <c r="D217" s="394">
        <f>IFERROR(IF(Loan_Not_Paid*Values_Entered,Beginning_Balance,""), "")</f>
        <v>136263801.66956252</v>
      </c>
      <c r="E217" s="394">
        <f>IFERROR(IF(Loan_Not_Paid*Values_Entered,Monthly_Payment,""), "")</f>
        <v>1270529.7872591855</v>
      </c>
      <c r="F217" s="394">
        <f>IFERROR(IF(Loan_Not_Paid*Values_Entered,Principal,""), "")</f>
        <v>532434.19488239451</v>
      </c>
      <c r="G217" s="394">
        <f>IFERROR(IF(Loan_Not_Paid*Values_Entered,Interest,""), "")</f>
        <v>738095.59237679106</v>
      </c>
      <c r="H217" s="394">
        <f>IFERROR(IF(Loan_Not_Paid*Values_Entered,Ending_Balance,""), "")</f>
        <v>135731367.47468007</v>
      </c>
    </row>
    <row r="218" spans="2:8">
      <c r="B218" s="396">
        <f>IFERROR(IF(Loan_Not_Paid*Values_Entered,Payment_Number,""), "")</f>
        <v>201</v>
      </c>
      <c r="C218" s="395"/>
      <c r="D218" s="394">
        <f>IFERROR(IF(Loan_Not_Paid*Values_Entered,Beginning_Balance,""), "")</f>
        <v>135731367.47468007</v>
      </c>
      <c r="E218" s="394">
        <f>IFERROR(IF(Loan_Not_Paid*Values_Entered,Monthly_Payment,""), "")</f>
        <v>1270529.7872591855</v>
      </c>
      <c r="F218" s="394">
        <f>IFERROR(IF(Loan_Not_Paid*Values_Entered,Principal,""), "")</f>
        <v>535318.2134380074</v>
      </c>
      <c r="G218" s="394">
        <f>IFERROR(IF(Loan_Not_Paid*Values_Entered,Interest,""), "")</f>
        <v>735211.57382117794</v>
      </c>
      <c r="H218" s="394">
        <f>IFERROR(IF(Loan_Not_Paid*Values_Entered,Ending_Balance,""), "")</f>
        <v>135196049.26124221</v>
      </c>
    </row>
    <row r="219" spans="2:8">
      <c r="B219" s="396">
        <f>IFERROR(IF(Loan_Not_Paid*Values_Entered,Payment_Number,""), "")</f>
        <v>202</v>
      </c>
      <c r="C219" s="395"/>
      <c r="D219" s="394">
        <f>IFERROR(IF(Loan_Not_Paid*Values_Entered,Beginning_Balance,""), "")</f>
        <v>135196049.26124221</v>
      </c>
      <c r="E219" s="394">
        <f>IFERROR(IF(Loan_Not_Paid*Values_Entered,Monthly_Payment,""), "")</f>
        <v>1270529.7872591855</v>
      </c>
      <c r="F219" s="394">
        <f>IFERROR(IF(Loan_Not_Paid*Values_Entered,Principal,""), "")</f>
        <v>538217.8537607966</v>
      </c>
      <c r="G219" s="394">
        <f>IFERROR(IF(Loan_Not_Paid*Values_Entered,Interest,""), "")</f>
        <v>732311.93349838885</v>
      </c>
      <c r="H219" s="394">
        <f>IFERROR(IF(Loan_Not_Paid*Values_Entered,Ending_Balance,""), "")</f>
        <v>134657831.40748131</v>
      </c>
    </row>
    <row r="220" spans="2:8">
      <c r="B220" s="396">
        <f>IFERROR(IF(Loan_Not_Paid*Values_Entered,Payment_Number,""), "")</f>
        <v>203</v>
      </c>
      <c r="C220" s="395"/>
      <c r="D220" s="394">
        <f>IFERROR(IF(Loan_Not_Paid*Values_Entered,Beginning_Balance,""), "")</f>
        <v>134657831.40748131</v>
      </c>
      <c r="E220" s="394">
        <f>IFERROR(IF(Loan_Not_Paid*Values_Entered,Monthly_Payment,""), "")</f>
        <v>1270529.7872591855</v>
      </c>
      <c r="F220" s="394">
        <f>IFERROR(IF(Loan_Not_Paid*Values_Entered,Principal,""), "")</f>
        <v>541133.20046866755</v>
      </c>
      <c r="G220" s="394">
        <f>IFERROR(IF(Loan_Not_Paid*Values_Entered,Interest,""), "")</f>
        <v>729396.58679051767</v>
      </c>
      <c r="H220" s="394">
        <f>IFERROR(IF(Loan_Not_Paid*Values_Entered,Ending_Balance,""), "")</f>
        <v>134116698.20701277</v>
      </c>
    </row>
    <row r="221" spans="2:8">
      <c r="B221" s="396">
        <f>IFERROR(IF(Loan_Not_Paid*Values_Entered,Payment_Number,""), "")</f>
        <v>204</v>
      </c>
      <c r="C221" s="395"/>
      <c r="D221" s="394">
        <f>IFERROR(IF(Loan_Not_Paid*Values_Entered,Beginning_Balance,""), "")</f>
        <v>134116698.20701277</v>
      </c>
      <c r="E221" s="394">
        <f>IFERROR(IF(Loan_Not_Paid*Values_Entered,Monthly_Payment,""), "")</f>
        <v>1270529.7872591855</v>
      </c>
      <c r="F221" s="394">
        <f>IFERROR(IF(Loan_Not_Paid*Values_Entered,Principal,""), "")</f>
        <v>544064.33863787295</v>
      </c>
      <c r="G221" s="394">
        <f>IFERROR(IF(Loan_Not_Paid*Values_Entered,Interest,""), "")</f>
        <v>726465.44862131251</v>
      </c>
      <c r="H221" s="394">
        <f>IFERROR(IF(Loan_Not_Paid*Values_Entered,Ending_Balance,""), "")</f>
        <v>133572633.86837488</v>
      </c>
    </row>
    <row r="222" spans="2:8">
      <c r="B222" s="396">
        <f>IFERROR(IF(Loan_Not_Paid*Values_Entered,Payment_Number,""), "")</f>
        <v>205</v>
      </c>
      <c r="C222" s="395"/>
      <c r="D222" s="394">
        <f>IFERROR(IF(Loan_Not_Paid*Values_Entered,Beginning_Balance,""), "")</f>
        <v>133572633.86837488</v>
      </c>
      <c r="E222" s="394">
        <f>IFERROR(IF(Loan_Not_Paid*Values_Entered,Monthly_Payment,""), "")</f>
        <v>1270529.7872591855</v>
      </c>
      <c r="F222" s="394">
        <f>IFERROR(IF(Loan_Not_Paid*Values_Entered,Principal,""), "")</f>
        <v>547011.35380549473</v>
      </c>
      <c r="G222" s="394">
        <f>IFERROR(IF(Loan_Not_Paid*Values_Entered,Interest,""), "")</f>
        <v>723518.43345369061</v>
      </c>
      <c r="H222" s="394">
        <f>IFERROR(IF(Loan_Not_Paid*Values_Entered,Ending_Balance,""), "")</f>
        <v>133025622.51456934</v>
      </c>
    </row>
    <row r="223" spans="2:8">
      <c r="B223" s="396">
        <f>IFERROR(IF(Loan_Not_Paid*Values_Entered,Payment_Number,""), "")</f>
        <v>206</v>
      </c>
      <c r="C223" s="395"/>
      <c r="D223" s="394">
        <f>IFERROR(IF(Loan_Not_Paid*Values_Entered,Beginning_Balance,""), "")</f>
        <v>133025622.51456934</v>
      </c>
      <c r="E223" s="394">
        <f>IFERROR(IF(Loan_Not_Paid*Values_Entered,Monthly_Payment,""), "")</f>
        <v>1270529.7872591855</v>
      </c>
      <c r="F223" s="394">
        <f>IFERROR(IF(Loan_Not_Paid*Values_Entered,Principal,""), "")</f>
        <v>549974.33197194105</v>
      </c>
      <c r="G223" s="394">
        <f>IFERROR(IF(Loan_Not_Paid*Values_Entered,Interest,""), "")</f>
        <v>720555.45528724429</v>
      </c>
      <c r="H223" s="394">
        <f>IFERROR(IF(Loan_Not_Paid*Values_Entered,Ending_Balance,""), "")</f>
        <v>132475648.1825974</v>
      </c>
    </row>
    <row r="224" spans="2:8">
      <c r="B224" s="396">
        <f>IFERROR(IF(Loan_Not_Paid*Values_Entered,Payment_Number,""), "")</f>
        <v>207</v>
      </c>
      <c r="C224" s="395"/>
      <c r="D224" s="394">
        <f>IFERROR(IF(Loan_Not_Paid*Values_Entered,Beginning_Balance,""), "")</f>
        <v>132475648.1825974</v>
      </c>
      <c r="E224" s="394">
        <f>IFERROR(IF(Loan_Not_Paid*Values_Entered,Monthly_Payment,""), "")</f>
        <v>1270529.7872591855</v>
      </c>
      <c r="F224" s="394">
        <f>IFERROR(IF(Loan_Not_Paid*Values_Entered,Principal,""), "")</f>
        <v>552953.35960345587</v>
      </c>
      <c r="G224" s="394">
        <f>IFERROR(IF(Loan_Not_Paid*Values_Entered,Interest,""), "")</f>
        <v>717576.42765572981</v>
      </c>
      <c r="H224" s="394">
        <f>IFERROR(IF(Loan_Not_Paid*Values_Entered,Ending_Balance,""), "")</f>
        <v>131922694.82299393</v>
      </c>
    </row>
    <row r="225" spans="2:8">
      <c r="B225" s="396">
        <f>IFERROR(IF(Loan_Not_Paid*Values_Entered,Payment_Number,""), "")</f>
        <v>208</v>
      </c>
      <c r="C225" s="395"/>
      <c r="D225" s="394">
        <f>IFERROR(IF(Loan_Not_Paid*Values_Entered,Beginning_Balance,""), "")</f>
        <v>131922694.82299393</v>
      </c>
      <c r="E225" s="394">
        <f>IFERROR(IF(Loan_Not_Paid*Values_Entered,Monthly_Payment,""), "")</f>
        <v>1270529.7872591855</v>
      </c>
      <c r="F225" s="394">
        <f>IFERROR(IF(Loan_Not_Paid*Values_Entered,Principal,""), "")</f>
        <v>555948.5236346412</v>
      </c>
      <c r="G225" s="394">
        <f>IFERROR(IF(Loan_Not_Paid*Values_Entered,Interest,""), "")</f>
        <v>714581.26362454426</v>
      </c>
      <c r="H225" s="394">
        <f>IFERROR(IF(Loan_Not_Paid*Values_Entered,Ending_Balance,""), "")</f>
        <v>131366746.29935932</v>
      </c>
    </row>
    <row r="226" spans="2:8">
      <c r="B226" s="396">
        <f>IFERROR(IF(Loan_Not_Paid*Values_Entered,Payment_Number,""), "")</f>
        <v>209</v>
      </c>
      <c r="C226" s="395"/>
      <c r="D226" s="394">
        <f>IFERROR(IF(Loan_Not_Paid*Values_Entered,Beginning_Balance,""), "")</f>
        <v>131366746.29935932</v>
      </c>
      <c r="E226" s="394">
        <f>IFERROR(IF(Loan_Not_Paid*Values_Entered,Monthly_Payment,""), "")</f>
        <v>1270529.7872591855</v>
      </c>
      <c r="F226" s="394">
        <f>IFERROR(IF(Loan_Not_Paid*Values_Entered,Principal,""), "")</f>
        <v>558959.91147099552</v>
      </c>
      <c r="G226" s="394">
        <f>IFERROR(IF(Loan_Not_Paid*Values_Entered,Interest,""), "")</f>
        <v>711569.87578818994</v>
      </c>
      <c r="H226" s="394">
        <f>IFERROR(IF(Loan_Not_Paid*Values_Entered,Ending_Balance,""), "")</f>
        <v>130807786.38788837</v>
      </c>
    </row>
    <row r="227" spans="2:8">
      <c r="B227" s="396">
        <f>IFERROR(IF(Loan_Not_Paid*Values_Entered,Payment_Number,""), "")</f>
        <v>210</v>
      </c>
      <c r="C227" s="395"/>
      <c r="D227" s="394">
        <f>IFERROR(IF(Loan_Not_Paid*Values_Entered,Beginning_Balance,""), "")</f>
        <v>130807786.38788837</v>
      </c>
      <c r="E227" s="394">
        <f>IFERROR(IF(Loan_Not_Paid*Values_Entered,Monthly_Payment,""), "")</f>
        <v>1270529.7872591855</v>
      </c>
      <c r="F227" s="394">
        <f>IFERROR(IF(Loan_Not_Paid*Values_Entered,Principal,""), "")</f>
        <v>561987.61099146341</v>
      </c>
      <c r="G227" s="394">
        <f>IFERROR(IF(Loan_Not_Paid*Values_Entered,Interest,""), "")</f>
        <v>708542.17626772204</v>
      </c>
      <c r="H227" s="394">
        <f>IFERROR(IF(Loan_Not_Paid*Values_Entered,Ending_Balance,""), "")</f>
        <v>130245798.77689689</v>
      </c>
    </row>
    <row r="228" spans="2:8">
      <c r="B228" s="396">
        <f>IFERROR(IF(Loan_Not_Paid*Values_Entered,Payment_Number,""), "")</f>
        <v>211</v>
      </c>
      <c r="C228" s="395"/>
      <c r="D228" s="394">
        <f>IFERROR(IF(Loan_Not_Paid*Values_Entered,Beginning_Balance,""), "")</f>
        <v>130245798.77689689</v>
      </c>
      <c r="E228" s="394">
        <f>IFERROR(IF(Loan_Not_Paid*Values_Entered,Monthly_Payment,""), "")</f>
        <v>1270529.7872591855</v>
      </c>
      <c r="F228" s="394">
        <f>IFERROR(IF(Loan_Not_Paid*Values_Entered,Principal,""), "")</f>
        <v>565031.71055100055</v>
      </c>
      <c r="G228" s="394">
        <f>IFERROR(IF(Loan_Not_Paid*Values_Entered,Interest,""), "")</f>
        <v>705498.0767081849</v>
      </c>
      <c r="H228" s="394">
        <f>IFERROR(IF(Loan_Not_Paid*Values_Entered,Ending_Balance,""), "")</f>
        <v>129680767.06634593</v>
      </c>
    </row>
    <row r="229" spans="2:8">
      <c r="B229" s="396">
        <f>IFERROR(IF(Loan_Not_Paid*Values_Entered,Payment_Number,""), "")</f>
        <v>212</v>
      </c>
      <c r="C229" s="395"/>
      <c r="D229" s="394">
        <f>IFERROR(IF(Loan_Not_Paid*Values_Entered,Beginning_Balance,""), "")</f>
        <v>129680767.06634593</v>
      </c>
      <c r="E229" s="394">
        <f>IFERROR(IF(Loan_Not_Paid*Values_Entered,Monthly_Payment,""), "")</f>
        <v>1270529.7872591855</v>
      </c>
      <c r="F229" s="394">
        <f>IFERROR(IF(Loan_Not_Paid*Values_Entered,Principal,""), "")</f>
        <v>568092.29898315168</v>
      </c>
      <c r="G229" s="394">
        <f>IFERROR(IF(Loan_Not_Paid*Values_Entered,Interest,""), "")</f>
        <v>702437.48827603366</v>
      </c>
      <c r="H229" s="394">
        <f>IFERROR(IF(Loan_Not_Paid*Values_Entered,Ending_Balance,""), "")</f>
        <v>129112674.76736283</v>
      </c>
    </row>
    <row r="230" spans="2:8">
      <c r="B230" s="396">
        <f>IFERROR(IF(Loan_Not_Paid*Values_Entered,Payment_Number,""), "")</f>
        <v>213</v>
      </c>
      <c r="C230" s="395"/>
      <c r="D230" s="394">
        <f>IFERROR(IF(Loan_Not_Paid*Values_Entered,Beginning_Balance,""), "")</f>
        <v>129112674.76736283</v>
      </c>
      <c r="E230" s="394">
        <f>IFERROR(IF(Loan_Not_Paid*Values_Entered,Monthly_Payment,""), "")</f>
        <v>1270529.7872591855</v>
      </c>
      <c r="F230" s="394">
        <f>IFERROR(IF(Loan_Not_Paid*Values_Entered,Principal,""), "")</f>
        <v>571169.46560264379</v>
      </c>
      <c r="G230" s="394">
        <f>IFERROR(IF(Loan_Not_Paid*Values_Entered,Interest,""), "")</f>
        <v>699360.32165654155</v>
      </c>
      <c r="H230" s="394">
        <f>IFERROR(IF(Loan_Not_Paid*Values_Entered,Ending_Balance,""), "")</f>
        <v>128541505.30176014</v>
      </c>
    </row>
    <row r="231" spans="2:8">
      <c r="B231" s="396">
        <f>IFERROR(IF(Loan_Not_Paid*Values_Entered,Payment_Number,""), "")</f>
        <v>214</v>
      </c>
      <c r="C231" s="395"/>
      <c r="D231" s="394">
        <f>IFERROR(IF(Loan_Not_Paid*Values_Entered,Beginning_Balance,""), "")</f>
        <v>128541505.30176014</v>
      </c>
      <c r="E231" s="394">
        <f>IFERROR(IF(Loan_Not_Paid*Values_Entered,Monthly_Payment,""), "")</f>
        <v>1270529.7872591855</v>
      </c>
      <c r="F231" s="394">
        <f>IFERROR(IF(Loan_Not_Paid*Values_Entered,Principal,""), "")</f>
        <v>574263.30020799139</v>
      </c>
      <c r="G231" s="394">
        <f>IFERROR(IF(Loan_Not_Paid*Values_Entered,Interest,""), "")</f>
        <v>696266.48705119395</v>
      </c>
      <c r="H231" s="394">
        <f>IFERROR(IF(Loan_Not_Paid*Values_Entered,Ending_Balance,""), "")</f>
        <v>127967242.00155216</v>
      </c>
    </row>
    <row r="232" spans="2:8">
      <c r="B232" s="396">
        <f>IFERROR(IF(Loan_Not_Paid*Values_Entered,Payment_Number,""), "")</f>
        <v>215</v>
      </c>
      <c r="C232" s="395"/>
      <c r="D232" s="394">
        <f>IFERROR(IF(Loan_Not_Paid*Values_Entered,Beginning_Balance,""), "")</f>
        <v>127967242.00155216</v>
      </c>
      <c r="E232" s="394">
        <f>IFERROR(IF(Loan_Not_Paid*Values_Entered,Monthly_Payment,""), "")</f>
        <v>1270529.7872591855</v>
      </c>
      <c r="F232" s="394">
        <f>IFERROR(IF(Loan_Not_Paid*Values_Entered,Principal,""), "")</f>
        <v>577373.89308411803</v>
      </c>
      <c r="G232" s="394">
        <f>IFERROR(IF(Loan_Not_Paid*Values_Entered,Interest,""), "")</f>
        <v>693155.89417506743</v>
      </c>
      <c r="H232" s="394">
        <f>IFERROR(IF(Loan_Not_Paid*Values_Entered,Ending_Balance,""), "")</f>
        <v>127389868.10846806</v>
      </c>
    </row>
    <row r="233" spans="2:8">
      <c r="B233" s="396">
        <f>IFERROR(IF(Loan_Not_Paid*Values_Entered,Payment_Number,""), "")</f>
        <v>216</v>
      </c>
      <c r="C233" s="395"/>
      <c r="D233" s="394">
        <f>IFERROR(IF(Loan_Not_Paid*Values_Entered,Beginning_Balance,""), "")</f>
        <v>127389868.10846806</v>
      </c>
      <c r="E233" s="394">
        <f>IFERROR(IF(Loan_Not_Paid*Values_Entered,Monthly_Payment,""), "")</f>
        <v>1270529.7872591855</v>
      </c>
      <c r="F233" s="394">
        <f>IFERROR(IF(Loan_Not_Paid*Values_Entered,Principal,""), "")</f>
        <v>580501.33500499034</v>
      </c>
      <c r="G233" s="394">
        <f>IFERROR(IF(Loan_Not_Paid*Values_Entered,Interest,""), "")</f>
        <v>690028.452254195</v>
      </c>
      <c r="H233" s="394">
        <f>IFERROR(IF(Loan_Not_Paid*Values_Entered,Ending_Balance,""), "")</f>
        <v>126809366.77346307</v>
      </c>
    </row>
    <row r="234" spans="2:8">
      <c r="B234" s="396">
        <f>IFERROR(IF(Loan_Not_Paid*Values_Entered,Payment_Number,""), "")</f>
        <v>217</v>
      </c>
      <c r="C234" s="395"/>
      <c r="D234" s="394">
        <f>IFERROR(IF(Loan_Not_Paid*Values_Entered,Beginning_Balance,""), "")</f>
        <v>126809366.77346307</v>
      </c>
      <c r="E234" s="394">
        <f>IFERROR(IF(Loan_Not_Paid*Values_Entered,Monthly_Payment,""), "")</f>
        <v>1270529.7872591855</v>
      </c>
      <c r="F234" s="394">
        <f>IFERROR(IF(Loan_Not_Paid*Values_Entered,Principal,""), "")</f>
        <v>583645.7172362674</v>
      </c>
      <c r="G234" s="394">
        <f>IFERROR(IF(Loan_Not_Paid*Values_Entered,Interest,""), "")</f>
        <v>686884.07002291793</v>
      </c>
      <c r="H234" s="394">
        <f>IFERROR(IF(Loan_Not_Paid*Values_Entered,Ending_Balance,""), "")</f>
        <v>126225721.05622685</v>
      </c>
    </row>
    <row r="235" spans="2:8">
      <c r="B235" s="396">
        <f>IFERROR(IF(Loan_Not_Paid*Values_Entered,Payment_Number,""), "")</f>
        <v>218</v>
      </c>
      <c r="C235" s="395"/>
      <c r="D235" s="394">
        <f>IFERROR(IF(Loan_Not_Paid*Values_Entered,Beginning_Balance,""), "")</f>
        <v>126225721.05622685</v>
      </c>
      <c r="E235" s="394">
        <f>IFERROR(IF(Loan_Not_Paid*Values_Entered,Monthly_Payment,""), "")</f>
        <v>1270529.7872591855</v>
      </c>
      <c r="F235" s="394">
        <f>IFERROR(IF(Loan_Not_Paid*Values_Entered,Principal,""), "")</f>
        <v>586807.13153796387</v>
      </c>
      <c r="G235" s="394">
        <f>IFERROR(IF(Loan_Not_Paid*Values_Entered,Interest,""), "")</f>
        <v>683722.65572122158</v>
      </c>
      <c r="H235" s="394">
        <f>IFERROR(IF(Loan_Not_Paid*Values_Entered,Ending_Balance,""), "")</f>
        <v>125638913.92468888</v>
      </c>
    </row>
    <row r="236" spans="2:8">
      <c r="B236" s="396">
        <f>IFERROR(IF(Loan_Not_Paid*Values_Entered,Payment_Number,""), "")</f>
        <v>219</v>
      </c>
      <c r="C236" s="395"/>
      <c r="D236" s="394">
        <f>IFERROR(IF(Loan_Not_Paid*Values_Entered,Beginning_Balance,""), "")</f>
        <v>125638913.92468888</v>
      </c>
      <c r="E236" s="394">
        <f>IFERROR(IF(Loan_Not_Paid*Values_Entered,Monthly_Payment,""), "")</f>
        <v>1270529.7872591855</v>
      </c>
      <c r="F236" s="394">
        <f>IFERROR(IF(Loan_Not_Paid*Values_Entered,Principal,""), "")</f>
        <v>589985.67016712786</v>
      </c>
      <c r="G236" s="394">
        <f>IFERROR(IF(Loan_Not_Paid*Values_Entered,Interest,""), "")</f>
        <v>680544.1170920576</v>
      </c>
      <c r="H236" s="394">
        <f>IFERROR(IF(Loan_Not_Paid*Values_Entered,Ending_Balance,""), "")</f>
        <v>125048928.25452179</v>
      </c>
    </row>
    <row r="237" spans="2:8">
      <c r="B237" s="396">
        <f>IFERROR(IF(Loan_Not_Paid*Values_Entered,Payment_Number,""), "")</f>
        <v>220</v>
      </c>
      <c r="C237" s="395"/>
      <c r="D237" s="394">
        <f>IFERROR(IF(Loan_Not_Paid*Values_Entered,Beginning_Balance,""), "")</f>
        <v>125048928.25452179</v>
      </c>
      <c r="E237" s="394">
        <f>IFERROR(IF(Loan_Not_Paid*Values_Entered,Monthly_Payment,""), "")</f>
        <v>1270529.7872591855</v>
      </c>
      <c r="F237" s="394">
        <f>IFERROR(IF(Loan_Not_Paid*Values_Entered,Principal,""), "")</f>
        <v>593181.42588053318</v>
      </c>
      <c r="G237" s="394">
        <f>IFERROR(IF(Loan_Not_Paid*Values_Entered,Interest,""), "")</f>
        <v>677348.36137865216</v>
      </c>
      <c r="H237" s="394">
        <f>IFERROR(IF(Loan_Not_Paid*Values_Entered,Ending_Balance,""), "")</f>
        <v>124455746.82864124</v>
      </c>
    </row>
    <row r="238" spans="2:8">
      <c r="B238" s="396">
        <f>IFERROR(IF(Loan_Not_Paid*Values_Entered,Payment_Number,""), "")</f>
        <v>221</v>
      </c>
      <c r="C238" s="395"/>
      <c r="D238" s="394">
        <f>IFERROR(IF(Loan_Not_Paid*Values_Entered,Beginning_Balance,""), "")</f>
        <v>124455746.82864124</v>
      </c>
      <c r="E238" s="394">
        <f>IFERROR(IF(Loan_Not_Paid*Values_Entered,Monthly_Payment,""), "")</f>
        <v>1270529.7872591855</v>
      </c>
      <c r="F238" s="394">
        <f>IFERROR(IF(Loan_Not_Paid*Values_Entered,Principal,""), "")</f>
        <v>596394.4919373861</v>
      </c>
      <c r="G238" s="394">
        <f>IFERROR(IF(Loan_Not_Paid*Values_Entered,Interest,""), "")</f>
        <v>674135.29532179947</v>
      </c>
      <c r="H238" s="394">
        <f>IFERROR(IF(Loan_Not_Paid*Values_Entered,Ending_Balance,""), "")</f>
        <v>123859352.3367039</v>
      </c>
    </row>
    <row r="239" spans="2:8">
      <c r="B239" s="396">
        <f>IFERROR(IF(Loan_Not_Paid*Values_Entered,Payment_Number,""), "")</f>
        <v>222</v>
      </c>
      <c r="C239" s="395"/>
      <c r="D239" s="394">
        <f>IFERROR(IF(Loan_Not_Paid*Values_Entered,Beginning_Balance,""), "")</f>
        <v>123859352.3367039</v>
      </c>
      <c r="E239" s="394">
        <f>IFERROR(IF(Loan_Not_Paid*Values_Entered,Monthly_Payment,""), "")</f>
        <v>1270529.7872591855</v>
      </c>
      <c r="F239" s="394">
        <f>IFERROR(IF(Loan_Not_Paid*Values_Entered,Principal,""), "")</f>
        <v>599624.96210204693</v>
      </c>
      <c r="G239" s="394">
        <f>IFERROR(IF(Loan_Not_Paid*Values_Entered,Interest,""), "")</f>
        <v>670904.82515713864</v>
      </c>
      <c r="H239" s="394">
        <f>IFERROR(IF(Loan_Not_Paid*Values_Entered,Ending_Balance,""), "")</f>
        <v>123259727.37460184</v>
      </c>
    </row>
    <row r="240" spans="2:8">
      <c r="B240" s="396">
        <f>IFERROR(IF(Loan_Not_Paid*Values_Entered,Payment_Number,""), "")</f>
        <v>223</v>
      </c>
      <c r="C240" s="395"/>
      <c r="D240" s="394">
        <f>IFERROR(IF(Loan_Not_Paid*Values_Entered,Beginning_Balance,""), "")</f>
        <v>123259727.37460184</v>
      </c>
      <c r="E240" s="394">
        <f>IFERROR(IF(Loan_Not_Paid*Values_Entered,Monthly_Payment,""), "")</f>
        <v>1270529.7872591855</v>
      </c>
      <c r="F240" s="394">
        <f>IFERROR(IF(Loan_Not_Paid*Values_Entered,Principal,""), "")</f>
        <v>602872.93064676621</v>
      </c>
      <c r="G240" s="394">
        <f>IFERROR(IF(Loan_Not_Paid*Values_Entered,Interest,""), "")</f>
        <v>667656.85661241913</v>
      </c>
      <c r="H240" s="394">
        <f>IFERROR(IF(Loan_Not_Paid*Values_Entered,Ending_Balance,""), "")</f>
        <v>122656854.44395506</v>
      </c>
    </row>
    <row r="241" spans="2:8">
      <c r="B241" s="396">
        <f>IFERROR(IF(Loan_Not_Paid*Values_Entered,Payment_Number,""), "")</f>
        <v>224</v>
      </c>
      <c r="C241" s="395"/>
      <c r="D241" s="394">
        <f>IFERROR(IF(Loan_Not_Paid*Values_Entered,Beginning_Balance,""), "")</f>
        <v>122656854.44395506</v>
      </c>
      <c r="E241" s="394">
        <f>IFERROR(IF(Loan_Not_Paid*Values_Entered,Monthly_Payment,""), "")</f>
        <v>1270529.7872591855</v>
      </c>
      <c r="F241" s="394">
        <f>IFERROR(IF(Loan_Not_Paid*Values_Entered,Principal,""), "")</f>
        <v>606138.49235443631</v>
      </c>
      <c r="G241" s="394">
        <f>IFERROR(IF(Loan_Not_Paid*Values_Entered,Interest,""), "")</f>
        <v>664391.29490474914</v>
      </c>
      <c r="H241" s="394">
        <f>IFERROR(IF(Loan_Not_Paid*Values_Entered,Ending_Balance,""), "")</f>
        <v>122050715.95160067</v>
      </c>
    </row>
    <row r="242" spans="2:8">
      <c r="B242" s="396">
        <f>IFERROR(IF(Loan_Not_Paid*Values_Entered,Payment_Number,""), "")</f>
        <v>225</v>
      </c>
      <c r="C242" s="395"/>
      <c r="D242" s="394">
        <f>IFERROR(IF(Loan_Not_Paid*Values_Entered,Beginning_Balance,""), "")</f>
        <v>122050715.95160067</v>
      </c>
      <c r="E242" s="394">
        <f>IFERROR(IF(Loan_Not_Paid*Values_Entered,Monthly_Payment,""), "")</f>
        <v>1270529.7872591855</v>
      </c>
      <c r="F242" s="394">
        <f>IFERROR(IF(Loan_Not_Paid*Values_Entered,Principal,""), "")</f>
        <v>609421.74252135609</v>
      </c>
      <c r="G242" s="394">
        <f>IFERROR(IF(Loan_Not_Paid*Values_Entered,Interest,""), "")</f>
        <v>661108.04473782936</v>
      </c>
      <c r="H242" s="394">
        <f>IFERROR(IF(Loan_Not_Paid*Values_Entered,Ending_Balance,""), "")</f>
        <v>121441294.20907938</v>
      </c>
    </row>
    <row r="243" spans="2:8">
      <c r="B243" s="396">
        <f>IFERROR(IF(Loan_Not_Paid*Values_Entered,Payment_Number,""), "")</f>
        <v>226</v>
      </c>
      <c r="C243" s="395"/>
      <c r="D243" s="394">
        <f>IFERROR(IF(Loan_Not_Paid*Values_Entered,Beginning_Balance,""), "")</f>
        <v>121441294.20907938</v>
      </c>
      <c r="E243" s="394">
        <f>IFERROR(IF(Loan_Not_Paid*Values_Entered,Monthly_Payment,""), "")</f>
        <v>1270529.7872591855</v>
      </c>
      <c r="F243" s="394">
        <f>IFERROR(IF(Loan_Not_Paid*Values_Entered,Principal,""), "")</f>
        <v>612722.77696001343</v>
      </c>
      <c r="G243" s="394">
        <f>IFERROR(IF(Loan_Not_Paid*Values_Entered,Interest,""), "")</f>
        <v>657807.0102991719</v>
      </c>
      <c r="H243" s="394">
        <f>IFERROR(IF(Loan_Not_Paid*Values_Entered,Ending_Balance,""), "")</f>
        <v>120828571.43211937</v>
      </c>
    </row>
    <row r="244" spans="2:8">
      <c r="B244" s="396">
        <f>IFERROR(IF(Loan_Not_Paid*Values_Entered,Payment_Number,""), "")</f>
        <v>227</v>
      </c>
      <c r="C244" s="395"/>
      <c r="D244" s="394">
        <f>IFERROR(IF(Loan_Not_Paid*Values_Entered,Beginning_Balance,""), "")</f>
        <v>120828571.43211937</v>
      </c>
      <c r="E244" s="394">
        <f>IFERROR(IF(Loan_Not_Paid*Values_Entered,Monthly_Payment,""), "")</f>
        <v>1270529.7872591855</v>
      </c>
      <c r="F244" s="394">
        <f>IFERROR(IF(Loan_Not_Paid*Values_Entered,Principal,""), "")</f>
        <v>616041.69200188015</v>
      </c>
      <c r="G244" s="394">
        <f>IFERROR(IF(Loan_Not_Paid*Values_Entered,Interest,""), "")</f>
        <v>654488.09525730531</v>
      </c>
      <c r="H244" s="394">
        <f>IFERROR(IF(Loan_Not_Paid*Values_Entered,Ending_Balance,""), "")</f>
        <v>120212529.74011743</v>
      </c>
    </row>
    <row r="245" spans="2:8">
      <c r="B245" s="396">
        <f>IFERROR(IF(Loan_Not_Paid*Values_Entered,Payment_Number,""), "")</f>
        <v>228</v>
      </c>
      <c r="C245" s="395"/>
      <c r="D245" s="394">
        <f>IFERROR(IF(Loan_Not_Paid*Values_Entered,Beginning_Balance,""), "")</f>
        <v>120212529.74011743</v>
      </c>
      <c r="E245" s="394">
        <f>IFERROR(IF(Loan_Not_Paid*Values_Entered,Monthly_Payment,""), "")</f>
        <v>1270529.7872591855</v>
      </c>
      <c r="F245" s="394">
        <f>IFERROR(IF(Loan_Not_Paid*Values_Entered,Principal,""), "")</f>
        <v>619378.58450022375</v>
      </c>
      <c r="G245" s="394">
        <f>IFERROR(IF(Loan_Not_Paid*Values_Entered,Interest,""), "")</f>
        <v>651151.20275896171</v>
      </c>
      <c r="H245" s="394">
        <f>IFERROR(IF(Loan_Not_Paid*Values_Entered,Ending_Balance,""), "")</f>
        <v>119593151.15561724</v>
      </c>
    </row>
    <row r="246" spans="2:8">
      <c r="B246" s="396">
        <f>IFERROR(IF(Loan_Not_Paid*Values_Entered,Payment_Number,""), "")</f>
        <v>229</v>
      </c>
      <c r="C246" s="395"/>
      <c r="D246" s="394">
        <f>IFERROR(IF(Loan_Not_Paid*Values_Entered,Beginning_Balance,""), "")</f>
        <v>119593151.15561724</v>
      </c>
      <c r="E246" s="394">
        <f>IFERROR(IF(Loan_Not_Paid*Values_Entered,Monthly_Payment,""), "")</f>
        <v>1270529.7872591855</v>
      </c>
      <c r="F246" s="394">
        <f>IFERROR(IF(Loan_Not_Paid*Values_Entered,Principal,""), "")</f>
        <v>622733.55183293333</v>
      </c>
      <c r="G246" s="394">
        <f>IFERROR(IF(Loan_Not_Paid*Values_Entered,Interest,""), "")</f>
        <v>647796.23542625201</v>
      </c>
      <c r="H246" s="394">
        <f>IFERROR(IF(Loan_Not_Paid*Values_Entered,Ending_Balance,""), "")</f>
        <v>118970417.60378432</v>
      </c>
    </row>
    <row r="247" spans="2:8">
      <c r="B247" s="396">
        <f>IFERROR(IF(Loan_Not_Paid*Values_Entered,Payment_Number,""), "")</f>
        <v>230</v>
      </c>
      <c r="C247" s="395"/>
      <c r="D247" s="394">
        <f>IFERROR(IF(Loan_Not_Paid*Values_Entered,Beginning_Balance,""), "")</f>
        <v>118970417.60378432</v>
      </c>
      <c r="E247" s="394">
        <f>IFERROR(IF(Loan_Not_Paid*Values_Entered,Monthly_Payment,""), "")</f>
        <v>1270529.7872591855</v>
      </c>
      <c r="F247" s="394">
        <f>IFERROR(IF(Loan_Not_Paid*Values_Entered,Principal,""), "")</f>
        <v>626106.6919053616</v>
      </c>
      <c r="G247" s="394">
        <f>IFERROR(IF(Loan_Not_Paid*Values_Entered,Interest,""), "")</f>
        <v>644423.09535382374</v>
      </c>
      <c r="H247" s="394">
        <f>IFERROR(IF(Loan_Not_Paid*Values_Entered,Ending_Balance,""), "")</f>
        <v>118344310.91187906</v>
      </c>
    </row>
    <row r="248" spans="2:8">
      <c r="B248" s="396">
        <f>IFERROR(IF(Loan_Not_Paid*Values_Entered,Payment_Number,""), "")</f>
        <v>231</v>
      </c>
      <c r="C248" s="395"/>
      <c r="D248" s="394">
        <f>IFERROR(IF(Loan_Not_Paid*Values_Entered,Beginning_Balance,""), "")</f>
        <v>118344310.91187906</v>
      </c>
      <c r="E248" s="394">
        <f>IFERROR(IF(Loan_Not_Paid*Values_Entered,Monthly_Payment,""), "")</f>
        <v>1270529.7872591855</v>
      </c>
      <c r="F248" s="394">
        <f>IFERROR(IF(Loan_Not_Paid*Values_Entered,Principal,""), "")</f>
        <v>629498.10315318231</v>
      </c>
      <c r="G248" s="394">
        <f>IFERROR(IF(Loan_Not_Paid*Values_Entered,Interest,""), "")</f>
        <v>641031.68410600303</v>
      </c>
      <c r="H248" s="394">
        <f>IFERROR(IF(Loan_Not_Paid*Values_Entered,Ending_Balance,""), "")</f>
        <v>117714812.80872583</v>
      </c>
    </row>
    <row r="249" spans="2:8">
      <c r="B249" s="396">
        <f>IFERROR(IF(Loan_Not_Paid*Values_Entered,Payment_Number,""), "")</f>
        <v>232</v>
      </c>
      <c r="C249" s="395"/>
      <c r="D249" s="394">
        <f>IFERROR(IF(Loan_Not_Paid*Values_Entered,Beginning_Balance,""), "")</f>
        <v>117714812.80872583</v>
      </c>
      <c r="E249" s="394">
        <f>IFERROR(IF(Loan_Not_Paid*Values_Entered,Monthly_Payment,""), "")</f>
        <v>1270529.7872591855</v>
      </c>
      <c r="F249" s="394">
        <f>IFERROR(IF(Loan_Not_Paid*Values_Entered,Principal,""), "")</f>
        <v>632907.88454526209</v>
      </c>
      <c r="G249" s="394">
        <f>IFERROR(IF(Loan_Not_Paid*Values_Entered,Interest,""), "")</f>
        <v>637621.90271392337</v>
      </c>
      <c r="H249" s="394">
        <f>IFERROR(IF(Loan_Not_Paid*Values_Entered,Ending_Balance,""), "")</f>
        <v>117081904.92418063</v>
      </c>
    </row>
    <row r="250" spans="2:8">
      <c r="B250" s="396">
        <f>IFERROR(IF(Loan_Not_Paid*Values_Entered,Payment_Number,""), "")</f>
        <v>233</v>
      </c>
      <c r="C250" s="395"/>
      <c r="D250" s="394">
        <f>IFERROR(IF(Loan_Not_Paid*Values_Entered,Beginning_Balance,""), "")</f>
        <v>117081904.92418063</v>
      </c>
      <c r="E250" s="394">
        <f>IFERROR(IF(Loan_Not_Paid*Values_Entered,Monthly_Payment,""), "")</f>
        <v>1270529.7872591855</v>
      </c>
      <c r="F250" s="394">
        <f>IFERROR(IF(Loan_Not_Paid*Values_Entered,Principal,""), "")</f>
        <v>636336.13558654895</v>
      </c>
      <c r="G250" s="394">
        <f>IFERROR(IF(Loan_Not_Paid*Values_Entered,Interest,""), "")</f>
        <v>634193.65167263639</v>
      </c>
      <c r="H250" s="394">
        <f>IFERROR(IF(Loan_Not_Paid*Values_Entered,Ending_Balance,""), "")</f>
        <v>116445568.78859401</v>
      </c>
    </row>
    <row r="251" spans="2:8">
      <c r="B251" s="396">
        <f>IFERROR(IF(Loan_Not_Paid*Values_Entered,Payment_Number,""), "")</f>
        <v>234</v>
      </c>
      <c r="C251" s="395"/>
      <c r="D251" s="394">
        <f>IFERROR(IF(Loan_Not_Paid*Values_Entered,Beginning_Balance,""), "")</f>
        <v>116445568.78859401</v>
      </c>
      <c r="E251" s="394">
        <f>IFERROR(IF(Loan_Not_Paid*Values_Entered,Monthly_Payment,""), "")</f>
        <v>1270529.7872591855</v>
      </c>
      <c r="F251" s="394">
        <f>IFERROR(IF(Loan_Not_Paid*Values_Entered,Principal,""), "")</f>
        <v>639782.95632097614</v>
      </c>
      <c r="G251" s="394">
        <f>IFERROR(IF(Loan_Not_Paid*Values_Entered,Interest,""), "")</f>
        <v>630746.8309382092</v>
      </c>
      <c r="H251" s="394">
        <f>IFERROR(IF(Loan_Not_Paid*Values_Entered,Ending_Balance,""), "")</f>
        <v>115805785.83227313</v>
      </c>
    </row>
    <row r="252" spans="2:8">
      <c r="B252" s="396">
        <f>IFERROR(IF(Loan_Not_Paid*Values_Entered,Payment_Number,""), "")</f>
        <v>235</v>
      </c>
      <c r="C252" s="395"/>
      <c r="D252" s="394">
        <f>IFERROR(IF(Loan_Not_Paid*Values_Entered,Beginning_Balance,""), "")</f>
        <v>115805785.83227313</v>
      </c>
      <c r="E252" s="394">
        <f>IFERROR(IF(Loan_Not_Paid*Values_Entered,Monthly_Payment,""), "")</f>
        <v>1270529.7872591855</v>
      </c>
      <c r="F252" s="394">
        <f>IFERROR(IF(Loan_Not_Paid*Values_Entered,Principal,""), "")</f>
        <v>643248.4473343814</v>
      </c>
      <c r="G252" s="394">
        <f>IFERROR(IF(Loan_Not_Paid*Values_Entered,Interest,""), "")</f>
        <v>627281.33992480405</v>
      </c>
      <c r="H252" s="394">
        <f>IFERROR(IF(Loan_Not_Paid*Values_Entered,Ending_Balance,""), "")</f>
        <v>115162537.38493872</v>
      </c>
    </row>
    <row r="253" spans="2:8">
      <c r="B253" s="396">
        <f>IFERROR(IF(Loan_Not_Paid*Values_Entered,Payment_Number,""), "")</f>
        <v>236</v>
      </c>
      <c r="C253" s="395"/>
      <c r="D253" s="394">
        <f>IFERROR(IF(Loan_Not_Paid*Values_Entered,Beginning_Balance,""), "")</f>
        <v>115162537.38493872</v>
      </c>
      <c r="E253" s="394">
        <f>IFERROR(IF(Loan_Not_Paid*Values_Entered,Monthly_Payment,""), "")</f>
        <v>1270529.7872591855</v>
      </c>
      <c r="F253" s="394">
        <f>IFERROR(IF(Loan_Not_Paid*Values_Entered,Principal,""), "")</f>
        <v>646732.7097574427</v>
      </c>
      <c r="G253" s="394">
        <f>IFERROR(IF(Loan_Not_Paid*Values_Entered,Interest,""), "")</f>
        <v>623797.07750174287</v>
      </c>
      <c r="H253" s="394">
        <f>IFERROR(IF(Loan_Not_Paid*Values_Entered,Ending_Balance,""), "")</f>
        <v>114515804.67518139</v>
      </c>
    </row>
    <row r="254" spans="2:8">
      <c r="B254" s="396">
        <f>IFERROR(IF(Loan_Not_Paid*Values_Entered,Payment_Number,""), "")</f>
        <v>237</v>
      </c>
      <c r="C254" s="395"/>
      <c r="D254" s="394">
        <f>IFERROR(IF(Loan_Not_Paid*Values_Entered,Beginning_Balance,""), "")</f>
        <v>114515804.67518139</v>
      </c>
      <c r="E254" s="394">
        <f>IFERROR(IF(Loan_Not_Paid*Values_Entered,Monthly_Payment,""), "")</f>
        <v>1270529.7872591855</v>
      </c>
      <c r="F254" s="394">
        <f>IFERROR(IF(Loan_Not_Paid*Values_Entered,Principal,""), "")</f>
        <v>650235.84526862879</v>
      </c>
      <c r="G254" s="394">
        <f>IFERROR(IF(Loan_Not_Paid*Values_Entered,Interest,""), "")</f>
        <v>620293.94199055666</v>
      </c>
      <c r="H254" s="394">
        <f>IFERROR(IF(Loan_Not_Paid*Values_Entered,Ending_Balance,""), "")</f>
        <v>113865568.82991266</v>
      </c>
    </row>
    <row r="255" spans="2:8">
      <c r="B255" s="396">
        <f>IFERROR(IF(Loan_Not_Paid*Values_Entered,Payment_Number,""), "")</f>
        <v>238</v>
      </c>
      <c r="C255" s="395"/>
      <c r="D255" s="394">
        <f>IFERROR(IF(Loan_Not_Paid*Values_Entered,Beginning_Balance,""), "")</f>
        <v>113865568.82991266</v>
      </c>
      <c r="E255" s="394">
        <f>IFERROR(IF(Loan_Not_Paid*Values_Entered,Monthly_Payment,""), "")</f>
        <v>1270529.7872591855</v>
      </c>
      <c r="F255" s="394">
        <f>IFERROR(IF(Loan_Not_Paid*Values_Entered,Principal,""), "")</f>
        <v>653757.95609716722</v>
      </c>
      <c r="G255" s="394">
        <f>IFERROR(IF(Loan_Not_Paid*Values_Entered,Interest,""), "")</f>
        <v>616771.83116201835</v>
      </c>
      <c r="H255" s="394">
        <f>IFERROR(IF(Loan_Not_Paid*Values_Entered,Ending_Balance,""), "")</f>
        <v>113211810.87381554</v>
      </c>
    </row>
    <row r="256" spans="2:8">
      <c r="B256" s="396">
        <f>IFERROR(IF(Loan_Not_Paid*Values_Entered,Payment_Number,""), "")</f>
        <v>239</v>
      </c>
      <c r="C256" s="395"/>
      <c r="D256" s="394">
        <f>IFERROR(IF(Loan_Not_Paid*Values_Entered,Beginning_Balance,""), "")</f>
        <v>113211810.87381554</v>
      </c>
      <c r="E256" s="394">
        <f>IFERROR(IF(Loan_Not_Paid*Values_Entered,Monthly_Payment,""), "")</f>
        <v>1270529.7872591855</v>
      </c>
      <c r="F256" s="394">
        <f>IFERROR(IF(Loan_Not_Paid*Values_Entered,Principal,""), "")</f>
        <v>657299.14502602688</v>
      </c>
      <c r="G256" s="394">
        <f>IFERROR(IF(Loan_Not_Paid*Values_Entered,Interest,""), "")</f>
        <v>613230.64223315846</v>
      </c>
      <c r="H256" s="394">
        <f>IFERROR(IF(Loan_Not_Paid*Values_Entered,Ending_Balance,""), "")</f>
        <v>112554511.72878945</v>
      </c>
    </row>
    <row r="257" spans="2:8">
      <c r="B257" s="396">
        <f>IFERROR(IF(Loan_Not_Paid*Values_Entered,Payment_Number,""), "")</f>
        <v>240</v>
      </c>
      <c r="C257" s="395"/>
      <c r="D257" s="394">
        <f>IFERROR(IF(Loan_Not_Paid*Values_Entered,Beginning_Balance,""), "")</f>
        <v>112554511.72878945</v>
      </c>
      <c r="E257" s="394">
        <f>IFERROR(IF(Loan_Not_Paid*Values_Entered,Monthly_Payment,""), "")</f>
        <v>1270529.7872591855</v>
      </c>
      <c r="F257" s="394">
        <f>IFERROR(IF(Loan_Not_Paid*Values_Entered,Principal,""), "")</f>
        <v>660859.51539491781</v>
      </c>
      <c r="G257" s="394">
        <f>IFERROR(IF(Loan_Not_Paid*Values_Entered,Interest,""), "")</f>
        <v>609670.27186426765</v>
      </c>
      <c r="H257" s="394">
        <f>IFERROR(IF(Loan_Not_Paid*Values_Entered,Ending_Balance,""), "")</f>
        <v>111893652.21339452</v>
      </c>
    </row>
    <row r="258" spans="2:8">
      <c r="B258" s="396">
        <f>IFERROR(IF(Loan_Not_Paid*Values_Entered,Payment_Number,""), "")</f>
        <v>241</v>
      </c>
      <c r="C258" s="395"/>
      <c r="D258" s="394">
        <f>IFERROR(IF(Loan_Not_Paid*Values_Entered,Beginning_Balance,""), "")</f>
        <v>111893652.21339452</v>
      </c>
      <c r="E258" s="394">
        <f>IFERROR(IF(Loan_Not_Paid*Values_Entered,Monthly_Payment,""), "")</f>
        <v>1270529.7872591855</v>
      </c>
      <c r="F258" s="394">
        <f>IFERROR(IF(Loan_Not_Paid*Values_Entered,Principal,""), "")</f>
        <v>664439.17110330705</v>
      </c>
      <c r="G258" s="394">
        <f>IFERROR(IF(Loan_Not_Paid*Values_Entered,Interest,""), "")</f>
        <v>606090.61615587841</v>
      </c>
      <c r="H258" s="394">
        <f>IFERROR(IF(Loan_Not_Paid*Values_Entered,Ending_Balance,""), "")</f>
        <v>111229213.04229128</v>
      </c>
    </row>
    <row r="259" spans="2:8">
      <c r="B259" s="396">
        <f>IFERROR(IF(Loan_Not_Paid*Values_Entered,Payment_Number,""), "")</f>
        <v>242</v>
      </c>
      <c r="C259" s="395"/>
      <c r="D259" s="394">
        <f>IFERROR(IF(Loan_Not_Paid*Values_Entered,Beginning_Balance,""), "")</f>
        <v>111229213.04229128</v>
      </c>
      <c r="E259" s="394">
        <f>IFERROR(IF(Loan_Not_Paid*Values_Entered,Monthly_Payment,""), "")</f>
        <v>1270529.7872591855</v>
      </c>
      <c r="F259" s="394">
        <f>IFERROR(IF(Loan_Not_Paid*Values_Entered,Principal,""), "")</f>
        <v>668038.21661344985</v>
      </c>
      <c r="G259" s="394">
        <f>IFERROR(IF(Loan_Not_Paid*Values_Entered,Interest,""), "")</f>
        <v>602491.57064573548</v>
      </c>
      <c r="H259" s="394">
        <f>IFERROR(IF(Loan_Not_Paid*Values_Entered,Ending_Balance,""), "")</f>
        <v>110561174.82567787</v>
      </c>
    </row>
    <row r="260" spans="2:8">
      <c r="B260" s="396">
        <f>IFERROR(IF(Loan_Not_Paid*Values_Entered,Payment_Number,""), "")</f>
        <v>243</v>
      </c>
      <c r="C260" s="395"/>
      <c r="D260" s="394">
        <f>IFERROR(IF(Loan_Not_Paid*Values_Entered,Beginning_Balance,""), "")</f>
        <v>110561174.82567787</v>
      </c>
      <c r="E260" s="394">
        <f>IFERROR(IF(Loan_Not_Paid*Values_Entered,Monthly_Payment,""), "")</f>
        <v>1270529.7872591855</v>
      </c>
      <c r="F260" s="394">
        <f>IFERROR(IF(Loan_Not_Paid*Values_Entered,Principal,""), "")</f>
        <v>671656.75695343933</v>
      </c>
      <c r="G260" s="394">
        <f>IFERROR(IF(Loan_Not_Paid*Values_Entered,Interest,""), "")</f>
        <v>598873.03030574601</v>
      </c>
      <c r="H260" s="394">
        <f>IFERROR(IF(Loan_Not_Paid*Values_Entered,Ending_Balance,""), "")</f>
        <v>109889518.06872451</v>
      </c>
    </row>
    <row r="261" spans="2:8">
      <c r="B261" s="396">
        <f>IFERROR(IF(Loan_Not_Paid*Values_Entered,Payment_Number,""), "")</f>
        <v>244</v>
      </c>
      <c r="C261" s="395"/>
      <c r="D261" s="394">
        <f>IFERROR(IF(Loan_Not_Paid*Values_Entered,Beginning_Balance,""), "")</f>
        <v>109889518.06872451</v>
      </c>
      <c r="E261" s="394">
        <f>IFERROR(IF(Loan_Not_Paid*Values_Entered,Monthly_Payment,""), "")</f>
        <v>1270529.7872591855</v>
      </c>
      <c r="F261" s="394">
        <f>IFERROR(IF(Loan_Not_Paid*Values_Entered,Principal,""), "")</f>
        <v>675294.89772027056</v>
      </c>
      <c r="G261" s="394">
        <f>IFERROR(IF(Loan_Not_Paid*Values_Entered,Interest,""), "")</f>
        <v>595234.8895389149</v>
      </c>
      <c r="H261" s="394">
        <f>IFERROR(IF(Loan_Not_Paid*Values_Entered,Ending_Balance,""), "")</f>
        <v>109214223.17100418</v>
      </c>
    </row>
    <row r="262" spans="2:8">
      <c r="B262" s="396">
        <f>IFERROR(IF(Loan_Not_Paid*Values_Entered,Payment_Number,""), "")</f>
        <v>245</v>
      </c>
      <c r="C262" s="395"/>
      <c r="D262" s="394">
        <f>IFERROR(IF(Loan_Not_Paid*Values_Entered,Beginning_Balance,""), "")</f>
        <v>109214223.17100418</v>
      </c>
      <c r="E262" s="394">
        <f>IFERROR(IF(Loan_Not_Paid*Values_Entered,Monthly_Payment,""), "")</f>
        <v>1270529.7872591855</v>
      </c>
      <c r="F262" s="394">
        <f>IFERROR(IF(Loan_Not_Paid*Values_Entered,Principal,""), "")</f>
        <v>678952.74508292193</v>
      </c>
      <c r="G262" s="394">
        <f>IFERROR(IF(Loan_Not_Paid*Values_Entered,Interest,""), "")</f>
        <v>591577.04217626341</v>
      </c>
      <c r="H262" s="394">
        <f>IFERROR(IF(Loan_Not_Paid*Values_Entered,Ending_Balance,""), "")</f>
        <v>108535270.42592132</v>
      </c>
    </row>
    <row r="263" spans="2:8">
      <c r="B263" s="396">
        <f>IFERROR(IF(Loan_Not_Paid*Values_Entered,Payment_Number,""), "")</f>
        <v>246</v>
      </c>
      <c r="C263" s="395"/>
      <c r="D263" s="394">
        <f>IFERROR(IF(Loan_Not_Paid*Values_Entered,Beginning_Balance,""), "")</f>
        <v>108535270.42592132</v>
      </c>
      <c r="E263" s="394">
        <f>IFERROR(IF(Loan_Not_Paid*Values_Entered,Monthly_Payment,""), "")</f>
        <v>1270529.7872591855</v>
      </c>
      <c r="F263" s="394">
        <f>IFERROR(IF(Loan_Not_Paid*Values_Entered,Principal,""), "")</f>
        <v>682630.40578545455</v>
      </c>
      <c r="G263" s="394">
        <f>IFERROR(IF(Loan_Not_Paid*Values_Entered,Interest,""), "")</f>
        <v>587899.38147373102</v>
      </c>
      <c r="H263" s="394">
        <f>IFERROR(IF(Loan_Not_Paid*Values_Entered,Ending_Balance,""), "")</f>
        <v>107852640.02013588</v>
      </c>
    </row>
    <row r="264" spans="2:8">
      <c r="B264" s="396">
        <f>IFERROR(IF(Loan_Not_Paid*Values_Entered,Payment_Number,""), "")</f>
        <v>247</v>
      </c>
      <c r="C264" s="395"/>
      <c r="D264" s="394">
        <f>IFERROR(IF(Loan_Not_Paid*Values_Entered,Beginning_Balance,""), "")</f>
        <v>107852640.02013588</v>
      </c>
      <c r="E264" s="394">
        <f>IFERROR(IF(Loan_Not_Paid*Values_Entered,Monthly_Payment,""), "")</f>
        <v>1270529.7872591855</v>
      </c>
      <c r="F264" s="394">
        <f>IFERROR(IF(Loan_Not_Paid*Values_Entered,Principal,""), "")</f>
        <v>686327.98715012567</v>
      </c>
      <c r="G264" s="394">
        <f>IFERROR(IF(Loan_Not_Paid*Values_Entered,Interest,""), "")</f>
        <v>584201.80010905978</v>
      </c>
      <c r="H264" s="394">
        <f>IFERROR(IF(Loan_Not_Paid*Values_Entered,Ending_Balance,""), "")</f>
        <v>107166312.03298581</v>
      </c>
    </row>
    <row r="265" spans="2:8">
      <c r="B265" s="396">
        <f>IFERROR(IF(Loan_Not_Paid*Values_Entered,Payment_Number,""), "")</f>
        <v>248</v>
      </c>
      <c r="C265" s="395"/>
      <c r="D265" s="394">
        <f>IFERROR(IF(Loan_Not_Paid*Values_Entered,Beginning_Balance,""), "")</f>
        <v>107166312.03298581</v>
      </c>
      <c r="E265" s="394">
        <f>IFERROR(IF(Loan_Not_Paid*Values_Entered,Monthly_Payment,""), "")</f>
        <v>1270529.7872591855</v>
      </c>
      <c r="F265" s="394">
        <f>IFERROR(IF(Loan_Not_Paid*Values_Entered,Principal,""), "")</f>
        <v>690045.59708052222</v>
      </c>
      <c r="G265" s="394">
        <f>IFERROR(IF(Loan_Not_Paid*Values_Entered,Interest,""), "")</f>
        <v>580484.19017866312</v>
      </c>
      <c r="H265" s="394">
        <f>IFERROR(IF(Loan_Not_Paid*Values_Entered,Ending_Balance,""), "")</f>
        <v>106476266.43590534</v>
      </c>
    </row>
    <row r="266" spans="2:8">
      <c r="B266" s="396">
        <f>IFERROR(IF(Loan_Not_Paid*Values_Entered,Payment_Number,""), "")</f>
        <v>249</v>
      </c>
      <c r="C266" s="395"/>
      <c r="D266" s="394">
        <f>IFERROR(IF(Loan_Not_Paid*Values_Entered,Beginning_Balance,""), "")</f>
        <v>106476266.43590534</v>
      </c>
      <c r="E266" s="394">
        <f>IFERROR(IF(Loan_Not_Paid*Values_Entered,Monthly_Payment,""), "")</f>
        <v>1270529.7872591855</v>
      </c>
      <c r="F266" s="394">
        <f>IFERROR(IF(Loan_Not_Paid*Values_Entered,Principal,""), "")</f>
        <v>693783.34406470822</v>
      </c>
      <c r="G266" s="394">
        <f>IFERROR(IF(Loan_Not_Paid*Values_Entered,Interest,""), "")</f>
        <v>576746.443194477</v>
      </c>
      <c r="H266" s="394">
        <f>IFERROR(IF(Loan_Not_Paid*Values_Entered,Ending_Balance,""), "")</f>
        <v>105782483.09184062</v>
      </c>
    </row>
    <row r="267" spans="2:8">
      <c r="B267" s="396">
        <f>IFERROR(IF(Loan_Not_Paid*Values_Entered,Payment_Number,""), "")</f>
        <v>250</v>
      </c>
      <c r="C267" s="395"/>
      <c r="D267" s="394">
        <f>IFERROR(IF(Loan_Not_Paid*Values_Entered,Beginning_Balance,""), "")</f>
        <v>105782483.09184062</v>
      </c>
      <c r="E267" s="394">
        <f>IFERROR(IF(Loan_Not_Paid*Values_Entered,Monthly_Payment,""), "")</f>
        <v>1270529.7872591855</v>
      </c>
      <c r="F267" s="394">
        <f>IFERROR(IF(Loan_Not_Paid*Values_Entered,Principal,""), "")</f>
        <v>697541.33717839222</v>
      </c>
      <c r="G267" s="394">
        <f>IFERROR(IF(Loan_Not_Paid*Values_Entered,Interest,""), "")</f>
        <v>572988.45008079335</v>
      </c>
      <c r="H267" s="394">
        <f>IFERROR(IF(Loan_Not_Paid*Values_Entered,Ending_Balance,""), "")</f>
        <v>105084941.75466228</v>
      </c>
    </row>
    <row r="268" spans="2:8">
      <c r="B268" s="396">
        <f>IFERROR(IF(Loan_Not_Paid*Values_Entered,Payment_Number,""), "")</f>
        <v>251</v>
      </c>
      <c r="C268" s="395"/>
      <c r="D268" s="394">
        <f>IFERROR(IF(Loan_Not_Paid*Values_Entered,Beginning_Balance,""), "")</f>
        <v>105084941.75466228</v>
      </c>
      <c r="E268" s="394">
        <f>IFERROR(IF(Loan_Not_Paid*Values_Entered,Monthly_Payment,""), "")</f>
        <v>1270529.7872591855</v>
      </c>
      <c r="F268" s="394">
        <f>IFERROR(IF(Loan_Not_Paid*Values_Entered,Principal,""), "")</f>
        <v>701319.68608810857</v>
      </c>
      <c r="G268" s="394">
        <f>IFERROR(IF(Loan_Not_Paid*Values_Entered,Interest,""), "")</f>
        <v>569210.10117107688</v>
      </c>
      <c r="H268" s="394">
        <f>IFERROR(IF(Loan_Not_Paid*Values_Entered,Ending_Balance,""), "")</f>
        <v>104383622.06857407</v>
      </c>
    </row>
    <row r="269" spans="2:8">
      <c r="B269" s="396">
        <f>IFERROR(IF(Loan_Not_Paid*Values_Entered,Payment_Number,""), "")</f>
        <v>252</v>
      </c>
      <c r="C269" s="395"/>
      <c r="D269" s="394">
        <f>IFERROR(IF(Loan_Not_Paid*Values_Entered,Beginning_Balance,""), "")</f>
        <v>104383622.06857407</v>
      </c>
      <c r="E269" s="394">
        <f>IFERROR(IF(Loan_Not_Paid*Values_Entered,Monthly_Payment,""), "")</f>
        <v>1270529.7872591855</v>
      </c>
      <c r="F269" s="394">
        <f>IFERROR(IF(Loan_Not_Paid*Values_Entered,Principal,""), "")</f>
        <v>705118.50105441897</v>
      </c>
      <c r="G269" s="394">
        <f>IFERROR(IF(Loan_Not_Paid*Values_Entered,Interest,""), "")</f>
        <v>565411.28620476637</v>
      </c>
      <c r="H269" s="394">
        <f>IFERROR(IF(Loan_Not_Paid*Values_Entered,Ending_Balance,""), "")</f>
        <v>103678503.56751966</v>
      </c>
    </row>
    <row r="270" spans="2:8">
      <c r="B270" s="396">
        <f>IFERROR(IF(Loan_Not_Paid*Values_Entered,Payment_Number,""), "")</f>
        <v>253</v>
      </c>
      <c r="C270" s="395"/>
      <c r="D270" s="394">
        <f>IFERROR(IF(Loan_Not_Paid*Values_Entered,Beginning_Balance,""), "")</f>
        <v>103678503.56751966</v>
      </c>
      <c r="E270" s="394">
        <f>IFERROR(IF(Loan_Not_Paid*Values_Entered,Monthly_Payment,""), "")</f>
        <v>1270529.7872591855</v>
      </c>
      <c r="F270" s="394">
        <f>IFERROR(IF(Loan_Not_Paid*Values_Entered,Principal,""), "")</f>
        <v>708937.89293513051</v>
      </c>
      <c r="G270" s="394">
        <f>IFERROR(IF(Loan_Not_Paid*Values_Entered,Interest,""), "")</f>
        <v>561591.89432405494</v>
      </c>
      <c r="H270" s="394">
        <f>IFERROR(IF(Loan_Not_Paid*Values_Entered,Ending_Balance,""), "")</f>
        <v>102969565.67458463</v>
      </c>
    </row>
    <row r="271" spans="2:8">
      <c r="B271" s="396">
        <f>IFERROR(IF(Loan_Not_Paid*Values_Entered,Payment_Number,""), "")</f>
        <v>254</v>
      </c>
      <c r="C271" s="395"/>
      <c r="D271" s="394">
        <f>IFERROR(IF(Loan_Not_Paid*Values_Entered,Beginning_Balance,""), "")</f>
        <v>102969565.67458463</v>
      </c>
      <c r="E271" s="394">
        <f>IFERROR(IF(Loan_Not_Paid*Values_Entered,Monthly_Payment,""), "")</f>
        <v>1270529.7872591855</v>
      </c>
      <c r="F271" s="394">
        <f>IFERROR(IF(Loan_Not_Paid*Values_Entered,Principal,""), "")</f>
        <v>712777.97318852914</v>
      </c>
      <c r="G271" s="394">
        <f>IFERROR(IF(Loan_Not_Paid*Values_Entered,Interest,""), "")</f>
        <v>557751.81407065631</v>
      </c>
      <c r="H271" s="394">
        <f>IFERROR(IF(Loan_Not_Paid*Values_Entered,Ending_Balance,""), "")</f>
        <v>102256787.70139611</v>
      </c>
    </row>
    <row r="272" spans="2:8">
      <c r="B272" s="396">
        <f>IFERROR(IF(Loan_Not_Paid*Values_Entered,Payment_Number,""), "")</f>
        <v>255</v>
      </c>
      <c r="C272" s="395"/>
      <c r="D272" s="394">
        <f>IFERROR(IF(Loan_Not_Paid*Values_Entered,Beginning_Balance,""), "")</f>
        <v>102256787.70139611</v>
      </c>
      <c r="E272" s="394">
        <f>IFERROR(IF(Loan_Not_Paid*Values_Entered,Monthly_Payment,""), "")</f>
        <v>1270529.7872591855</v>
      </c>
      <c r="F272" s="394">
        <f>IFERROR(IF(Loan_Not_Paid*Values_Entered,Principal,""), "")</f>
        <v>716638.85387663369</v>
      </c>
      <c r="G272" s="394">
        <f>IFERROR(IF(Loan_Not_Paid*Values_Entered,Interest,""), "")</f>
        <v>553890.93338255165</v>
      </c>
      <c r="H272" s="394">
        <f>IFERROR(IF(Loan_Not_Paid*Values_Entered,Ending_Balance,""), "")</f>
        <v>101540148.84751952</v>
      </c>
    </row>
    <row r="273" spans="2:8">
      <c r="B273" s="396">
        <f>IFERROR(IF(Loan_Not_Paid*Values_Entered,Payment_Number,""), "")</f>
        <v>256</v>
      </c>
      <c r="C273" s="395"/>
      <c r="D273" s="394">
        <f>IFERROR(IF(Loan_Not_Paid*Values_Entered,Beginning_Balance,""), "")</f>
        <v>101540148.84751952</v>
      </c>
      <c r="E273" s="394">
        <f>IFERROR(IF(Loan_Not_Paid*Values_Entered,Monthly_Payment,""), "")</f>
        <v>1270529.7872591855</v>
      </c>
      <c r="F273" s="394">
        <f>IFERROR(IF(Loan_Not_Paid*Values_Entered,Principal,""), "")</f>
        <v>720520.64766846551</v>
      </c>
      <c r="G273" s="394">
        <f>IFERROR(IF(Loan_Not_Paid*Values_Entered,Interest,""), "")</f>
        <v>550009.13959071995</v>
      </c>
      <c r="H273" s="394">
        <f>IFERROR(IF(Loan_Not_Paid*Values_Entered,Ending_Balance,""), "")</f>
        <v>100819628.19985104</v>
      </c>
    </row>
    <row r="274" spans="2:8">
      <c r="B274" s="396">
        <f>IFERROR(IF(Loan_Not_Paid*Values_Entered,Payment_Number,""), "")</f>
        <v>257</v>
      </c>
      <c r="C274" s="395"/>
      <c r="D274" s="394">
        <f>IFERROR(IF(Loan_Not_Paid*Values_Entered,Beginning_Balance,""), "")</f>
        <v>100819628.19985104</v>
      </c>
      <c r="E274" s="394">
        <f>IFERROR(IF(Loan_Not_Paid*Values_Entered,Monthly_Payment,""), "")</f>
        <v>1270529.7872591855</v>
      </c>
      <c r="F274" s="394">
        <f>IFERROR(IF(Loan_Not_Paid*Values_Entered,Principal,""), "")</f>
        <v>724423.4678433364</v>
      </c>
      <c r="G274" s="394">
        <f>IFERROR(IF(Loan_Not_Paid*Values_Entered,Interest,""), "")</f>
        <v>546106.31941584905</v>
      </c>
      <c r="H274" s="394">
        <f>IFERROR(IF(Loan_Not_Paid*Values_Entered,Ending_Balance,""), "")</f>
        <v>100095204.73200774</v>
      </c>
    </row>
    <row r="275" spans="2:8">
      <c r="B275" s="396">
        <f>IFERROR(IF(Loan_Not_Paid*Values_Entered,Payment_Number,""), "")</f>
        <v>258</v>
      </c>
      <c r="C275" s="395"/>
      <c r="D275" s="394">
        <f>IFERROR(IF(Loan_Not_Paid*Values_Entered,Beginning_Balance,""), "")</f>
        <v>100095204.73200774</v>
      </c>
      <c r="E275" s="394">
        <f>IFERROR(IF(Loan_Not_Paid*Values_Entered,Monthly_Payment,""), "")</f>
        <v>1270529.7872591855</v>
      </c>
      <c r="F275" s="394">
        <f>IFERROR(IF(Loan_Not_Paid*Values_Entered,Principal,""), "")</f>
        <v>728347.42829415447</v>
      </c>
      <c r="G275" s="394">
        <f>IFERROR(IF(Loan_Not_Paid*Values_Entered,Interest,""), "")</f>
        <v>542182.35896503099</v>
      </c>
      <c r="H275" s="394">
        <f>IFERROR(IF(Loan_Not_Paid*Values_Entered,Ending_Balance,""), "")</f>
        <v>99366857.303713441</v>
      </c>
    </row>
    <row r="276" spans="2:8">
      <c r="B276" s="396">
        <f>IFERROR(IF(Loan_Not_Paid*Values_Entered,Payment_Number,""), "")</f>
        <v>259</v>
      </c>
      <c r="C276" s="395"/>
      <c r="D276" s="394">
        <f>IFERROR(IF(Loan_Not_Paid*Values_Entered,Beginning_Balance,""), "")</f>
        <v>99366857.303713441</v>
      </c>
      <c r="E276" s="394">
        <f>IFERROR(IF(Loan_Not_Paid*Values_Entered,Monthly_Payment,""), "")</f>
        <v>1270529.7872591855</v>
      </c>
      <c r="F276" s="394">
        <f>IFERROR(IF(Loan_Not_Paid*Values_Entered,Principal,""), "")</f>
        <v>732292.64353074774</v>
      </c>
      <c r="G276" s="394">
        <f>IFERROR(IF(Loan_Not_Paid*Values_Entered,Interest,""), "")</f>
        <v>538237.14372843772</v>
      </c>
      <c r="H276" s="394">
        <f>IFERROR(IF(Loan_Not_Paid*Values_Entered,Ending_Balance,""), "")</f>
        <v>98634564.660182834</v>
      </c>
    </row>
    <row r="277" spans="2:8">
      <c r="B277" s="396">
        <f>IFERROR(IF(Loan_Not_Paid*Values_Entered,Payment_Number,""), "")</f>
        <v>260</v>
      </c>
      <c r="C277" s="395"/>
      <c r="D277" s="394">
        <f>IFERROR(IF(Loan_Not_Paid*Values_Entered,Beginning_Balance,""), "")</f>
        <v>98634564.660182834</v>
      </c>
      <c r="E277" s="394">
        <f>IFERROR(IF(Loan_Not_Paid*Values_Entered,Monthly_Payment,""), "")</f>
        <v>1270529.7872591855</v>
      </c>
      <c r="F277" s="394">
        <f>IFERROR(IF(Loan_Not_Paid*Values_Entered,Principal,""), "")</f>
        <v>736259.2286832059</v>
      </c>
      <c r="G277" s="394">
        <f>IFERROR(IF(Loan_Not_Paid*Values_Entered,Interest,""), "")</f>
        <v>534270.55857597943</v>
      </c>
      <c r="H277" s="394">
        <f>IFERROR(IF(Loan_Not_Paid*Values_Entered,Ending_Balance,""), "")</f>
        <v>97898305.43149972</v>
      </c>
    </row>
    <row r="278" spans="2:8">
      <c r="B278" s="396">
        <f>IFERROR(IF(Loan_Not_Paid*Values_Entered,Payment_Number,""), "")</f>
        <v>261</v>
      </c>
      <c r="C278" s="395"/>
      <c r="D278" s="394">
        <f>IFERROR(IF(Loan_Not_Paid*Values_Entered,Beginning_Balance,""), "")</f>
        <v>97898305.43149972</v>
      </c>
      <c r="E278" s="394">
        <f>IFERROR(IF(Loan_Not_Paid*Values_Entered,Monthly_Payment,""), "")</f>
        <v>1270529.7872591855</v>
      </c>
      <c r="F278" s="394">
        <f>IFERROR(IF(Loan_Not_Paid*Values_Entered,Principal,""), "")</f>
        <v>740247.29950524005</v>
      </c>
      <c r="G278" s="394">
        <f>IFERROR(IF(Loan_Not_Paid*Values_Entered,Interest,""), "")</f>
        <v>530282.48775394552</v>
      </c>
      <c r="H278" s="394">
        <f>IFERROR(IF(Loan_Not_Paid*Values_Entered,Ending_Balance,""), "")</f>
        <v>97158058.131994486</v>
      </c>
    </row>
    <row r="279" spans="2:8">
      <c r="B279" s="396">
        <f>IFERROR(IF(Loan_Not_Paid*Values_Entered,Payment_Number,""), "")</f>
        <v>262</v>
      </c>
      <c r="C279" s="395"/>
      <c r="D279" s="394">
        <f>IFERROR(IF(Loan_Not_Paid*Values_Entered,Beginning_Balance,""), "")</f>
        <v>97158058.131994486</v>
      </c>
      <c r="E279" s="394">
        <f>IFERROR(IF(Loan_Not_Paid*Values_Entered,Monthly_Payment,""), "")</f>
        <v>1270529.7872591855</v>
      </c>
      <c r="F279" s="394">
        <f>IFERROR(IF(Loan_Not_Paid*Values_Entered,Principal,""), "")</f>
        <v>744256.9723775601</v>
      </c>
      <c r="G279" s="394">
        <f>IFERROR(IF(Loan_Not_Paid*Values_Entered,Interest,""), "")</f>
        <v>526272.81488162535</v>
      </c>
      <c r="H279" s="394">
        <f>IFERROR(IF(Loan_Not_Paid*Values_Entered,Ending_Balance,""), "")</f>
        <v>96413801.159616947</v>
      </c>
    </row>
    <row r="280" spans="2:8">
      <c r="B280" s="396">
        <f>IFERROR(IF(Loan_Not_Paid*Values_Entered,Payment_Number,""), "")</f>
        <v>263</v>
      </c>
      <c r="C280" s="395"/>
      <c r="D280" s="394">
        <f>IFERROR(IF(Loan_Not_Paid*Values_Entered,Beginning_Balance,""), "")</f>
        <v>96413801.159616947</v>
      </c>
      <c r="E280" s="394">
        <f>IFERROR(IF(Loan_Not_Paid*Values_Entered,Monthly_Payment,""), "")</f>
        <v>1270529.7872591855</v>
      </c>
      <c r="F280" s="394">
        <f>IFERROR(IF(Loan_Not_Paid*Values_Entered,Principal,""), "")</f>
        <v>748288.36431127193</v>
      </c>
      <c r="G280" s="394">
        <f>IFERROR(IF(Loan_Not_Paid*Values_Entered,Interest,""), "")</f>
        <v>522241.42294791358</v>
      </c>
      <c r="H280" s="394">
        <f>IFERROR(IF(Loan_Not_Paid*Values_Entered,Ending_Balance,""), "")</f>
        <v>95665512.79530561</v>
      </c>
    </row>
    <row r="281" spans="2:8">
      <c r="B281" s="396">
        <f>IFERROR(IF(Loan_Not_Paid*Values_Entered,Payment_Number,""), "")</f>
        <v>264</v>
      </c>
      <c r="C281" s="395"/>
      <c r="D281" s="394">
        <f>IFERROR(IF(Loan_Not_Paid*Values_Entered,Beginning_Balance,""), "")</f>
        <v>95665512.79530561</v>
      </c>
      <c r="E281" s="394">
        <f>IFERROR(IF(Loan_Not_Paid*Values_Entered,Monthly_Payment,""), "")</f>
        <v>1270529.7872591855</v>
      </c>
      <c r="F281" s="394">
        <f>IFERROR(IF(Loan_Not_Paid*Values_Entered,Principal,""), "")</f>
        <v>752341.59295129112</v>
      </c>
      <c r="G281" s="394">
        <f>IFERROR(IF(Loan_Not_Paid*Values_Entered,Interest,""), "")</f>
        <v>518188.19430789427</v>
      </c>
      <c r="H281" s="394">
        <f>IFERROR(IF(Loan_Not_Paid*Values_Entered,Ending_Balance,""), "")</f>
        <v>94913171.202354431</v>
      </c>
    </row>
    <row r="282" spans="2:8">
      <c r="B282" s="396">
        <f>IFERROR(IF(Loan_Not_Paid*Values_Entered,Payment_Number,""), "")</f>
        <v>265</v>
      </c>
      <c r="C282" s="395"/>
      <c r="D282" s="394">
        <f>IFERROR(IF(Loan_Not_Paid*Values_Entered,Beginning_Balance,""), "")</f>
        <v>94913171.202354431</v>
      </c>
      <c r="E282" s="394">
        <f>IFERROR(IF(Loan_Not_Paid*Values_Entered,Monthly_Payment,""), "")</f>
        <v>1270529.7872591855</v>
      </c>
      <c r="F282" s="394">
        <f>IFERROR(IF(Loan_Not_Paid*Values_Entered,Principal,""), "")</f>
        <v>756416.77657977736</v>
      </c>
      <c r="G282" s="394">
        <f>IFERROR(IF(Loan_Not_Paid*Values_Entered,Interest,""), "")</f>
        <v>514113.01067940809</v>
      </c>
      <c r="H282" s="394">
        <f>IFERROR(IF(Loan_Not_Paid*Values_Entered,Ending_Balance,""), "")</f>
        <v>94156754.425774574</v>
      </c>
    </row>
    <row r="283" spans="2:8">
      <c r="B283" s="396">
        <f>IFERROR(IF(Loan_Not_Paid*Values_Entered,Payment_Number,""), "")</f>
        <v>266</v>
      </c>
      <c r="C283" s="395"/>
      <c r="D283" s="394">
        <f>IFERROR(IF(Loan_Not_Paid*Values_Entered,Beginning_Balance,""), "")</f>
        <v>94156754.425774574</v>
      </c>
      <c r="E283" s="394">
        <f>IFERROR(IF(Loan_Not_Paid*Values_Entered,Monthly_Payment,""), "")</f>
        <v>1270529.7872591855</v>
      </c>
      <c r="F283" s="394">
        <f>IFERROR(IF(Loan_Not_Paid*Values_Entered,Principal,""), "")</f>
        <v>760514.03411958448</v>
      </c>
      <c r="G283" s="394">
        <f>IFERROR(IF(Loan_Not_Paid*Values_Entered,Interest,""), "")</f>
        <v>510015.75313960097</v>
      </c>
      <c r="H283" s="394">
        <f>IFERROR(IF(Loan_Not_Paid*Values_Entered,Ending_Balance,""), "")</f>
        <v>93396240.391654968</v>
      </c>
    </row>
    <row r="284" spans="2:8">
      <c r="B284" s="396">
        <f>IFERROR(IF(Loan_Not_Paid*Values_Entered,Payment_Number,""), "")</f>
        <v>267</v>
      </c>
      <c r="C284" s="395"/>
      <c r="D284" s="394">
        <f>IFERROR(IF(Loan_Not_Paid*Values_Entered,Beginning_Balance,""), "")</f>
        <v>93396240.391654968</v>
      </c>
      <c r="E284" s="394">
        <f>IFERROR(IF(Loan_Not_Paid*Values_Entered,Monthly_Payment,""), "")</f>
        <v>1270529.7872591855</v>
      </c>
      <c r="F284" s="394">
        <f>IFERROR(IF(Loan_Not_Paid*Values_Entered,Principal,""), "")</f>
        <v>764633.48513773223</v>
      </c>
      <c r="G284" s="394">
        <f>IFERROR(IF(Loan_Not_Paid*Values_Entered,Interest,""), "")</f>
        <v>505896.30212145322</v>
      </c>
      <c r="H284" s="394">
        <f>IFERROR(IF(Loan_Not_Paid*Values_Entered,Ending_Balance,""), "")</f>
        <v>92631606.906517267</v>
      </c>
    </row>
    <row r="285" spans="2:8">
      <c r="B285" s="396">
        <f>IFERROR(IF(Loan_Not_Paid*Values_Entered,Payment_Number,""), "")</f>
        <v>268</v>
      </c>
      <c r="C285" s="395"/>
      <c r="D285" s="394">
        <f>IFERROR(IF(Loan_Not_Paid*Values_Entered,Beginning_Balance,""), "")</f>
        <v>92631606.906517267</v>
      </c>
      <c r="E285" s="394">
        <f>IFERROR(IF(Loan_Not_Paid*Values_Entered,Monthly_Payment,""), "")</f>
        <v>1270529.7872591855</v>
      </c>
      <c r="F285" s="394">
        <f>IFERROR(IF(Loan_Not_Paid*Values_Entered,Principal,""), "")</f>
        <v>768775.24984889501</v>
      </c>
      <c r="G285" s="394">
        <f>IFERROR(IF(Loan_Not_Paid*Values_Entered,Interest,""), "")</f>
        <v>501754.53741029045</v>
      </c>
      <c r="H285" s="394">
        <f>IFERROR(IF(Loan_Not_Paid*Values_Entered,Ending_Balance,""), "")</f>
        <v>91862831.656668425</v>
      </c>
    </row>
    <row r="286" spans="2:8">
      <c r="B286" s="396">
        <f>IFERROR(IF(Loan_Not_Paid*Values_Entered,Payment_Number,""), "")</f>
        <v>269</v>
      </c>
      <c r="C286" s="395"/>
      <c r="D286" s="394">
        <f>IFERROR(IF(Loan_Not_Paid*Values_Entered,Beginning_Balance,""), "")</f>
        <v>91862831.656668425</v>
      </c>
      <c r="E286" s="394">
        <f>IFERROR(IF(Loan_Not_Paid*Values_Entered,Monthly_Payment,""), "")</f>
        <v>1270529.7872591855</v>
      </c>
      <c r="F286" s="394">
        <f>IFERROR(IF(Loan_Not_Paid*Values_Entered,Principal,""), "")</f>
        <v>772939.44911890989</v>
      </c>
      <c r="G286" s="394">
        <f>IFERROR(IF(Loan_Not_Paid*Values_Entered,Interest,""), "")</f>
        <v>497590.33814027568</v>
      </c>
      <c r="H286" s="394">
        <f>IFERROR(IF(Loan_Not_Paid*Values_Entered,Ending_Balance,""), "")</f>
        <v>91089892.207549572</v>
      </c>
    </row>
    <row r="287" spans="2:8">
      <c r="B287" s="396">
        <f>IFERROR(IF(Loan_Not_Paid*Values_Entered,Payment_Number,""), "")</f>
        <v>270</v>
      </c>
      <c r="C287" s="395"/>
      <c r="D287" s="394">
        <f>IFERROR(IF(Loan_Not_Paid*Values_Entered,Beginning_Balance,""), "")</f>
        <v>91089892.207549572</v>
      </c>
      <c r="E287" s="394">
        <f>IFERROR(IF(Loan_Not_Paid*Values_Entered,Monthly_Payment,""), "")</f>
        <v>1270529.7872591855</v>
      </c>
      <c r="F287" s="394">
        <f>IFERROR(IF(Loan_Not_Paid*Values_Entered,Principal,""), "")</f>
        <v>777126.20446830383</v>
      </c>
      <c r="G287" s="394">
        <f>IFERROR(IF(Loan_Not_Paid*Values_Entered,Interest,""), "")</f>
        <v>493403.58279088157</v>
      </c>
      <c r="H287" s="394">
        <f>IFERROR(IF(Loan_Not_Paid*Values_Entered,Ending_Balance,""), "")</f>
        <v>90312766.003081322</v>
      </c>
    </row>
    <row r="288" spans="2:8">
      <c r="B288" s="396">
        <f>IFERROR(IF(Loan_Not_Paid*Values_Entered,Payment_Number,""), "")</f>
        <v>271</v>
      </c>
      <c r="C288" s="395"/>
      <c r="D288" s="394">
        <f>IFERROR(IF(Loan_Not_Paid*Values_Entered,Beginning_Balance,""), "")</f>
        <v>90312766.003081322</v>
      </c>
      <c r="E288" s="394">
        <f>IFERROR(IF(Loan_Not_Paid*Values_Entered,Monthly_Payment,""), "")</f>
        <v>1270529.7872591855</v>
      </c>
      <c r="F288" s="394">
        <f>IFERROR(IF(Loan_Not_Paid*Values_Entered,Principal,""), "")</f>
        <v>781335.63807584066</v>
      </c>
      <c r="G288" s="394">
        <f>IFERROR(IF(Loan_Not_Paid*Values_Entered,Interest,""), "")</f>
        <v>489194.14918334491</v>
      </c>
      <c r="H288" s="394">
        <f>IFERROR(IF(Loan_Not_Paid*Values_Entered,Ending_Balance,""), "")</f>
        <v>89531430.365005493</v>
      </c>
    </row>
    <row r="289" spans="2:8">
      <c r="B289" s="396">
        <f>IFERROR(IF(Loan_Not_Paid*Values_Entered,Payment_Number,""), "")</f>
        <v>272</v>
      </c>
      <c r="C289" s="395"/>
      <c r="D289" s="394">
        <f>IFERROR(IF(Loan_Not_Paid*Values_Entered,Beginning_Balance,""), "")</f>
        <v>89531430.365005493</v>
      </c>
      <c r="E289" s="394">
        <f>IFERROR(IF(Loan_Not_Paid*Values_Entered,Monthly_Payment,""), "")</f>
        <v>1270529.7872591855</v>
      </c>
      <c r="F289" s="394">
        <f>IFERROR(IF(Loan_Not_Paid*Values_Entered,Principal,""), "")</f>
        <v>785567.87278208474</v>
      </c>
      <c r="G289" s="394">
        <f>IFERROR(IF(Loan_Not_Paid*Values_Entered,Interest,""), "")</f>
        <v>484961.91447710077</v>
      </c>
      <c r="H289" s="394">
        <f>IFERROR(IF(Loan_Not_Paid*Values_Entered,Ending_Balance,""), "")</f>
        <v>88745862.492223263</v>
      </c>
    </row>
    <row r="290" spans="2:8">
      <c r="B290" s="396">
        <f>IFERROR(IF(Loan_Not_Paid*Values_Entered,Payment_Number,""), "")</f>
        <v>273</v>
      </c>
      <c r="C290" s="395"/>
      <c r="D290" s="394">
        <f>IFERROR(IF(Loan_Not_Paid*Values_Entered,Beginning_Balance,""), "")</f>
        <v>88745862.492223263</v>
      </c>
      <c r="E290" s="394">
        <f>IFERROR(IF(Loan_Not_Paid*Values_Entered,Monthly_Payment,""), "")</f>
        <v>1270529.7872591855</v>
      </c>
      <c r="F290" s="394">
        <f>IFERROR(IF(Loan_Not_Paid*Values_Entered,Principal,""), "")</f>
        <v>789823.03209298756</v>
      </c>
      <c r="G290" s="394">
        <f>IFERROR(IF(Loan_Not_Paid*Values_Entered,Interest,""), "")</f>
        <v>480706.75516619784</v>
      </c>
      <c r="H290" s="394">
        <f>IFERROR(IF(Loan_Not_Paid*Values_Entered,Ending_Balance,""), "")</f>
        <v>87956039.460130572</v>
      </c>
    </row>
    <row r="291" spans="2:8">
      <c r="B291" s="396">
        <f>IFERROR(IF(Loan_Not_Paid*Values_Entered,Payment_Number,""), "")</f>
        <v>274</v>
      </c>
      <c r="C291" s="395"/>
      <c r="D291" s="394">
        <f>IFERROR(IF(Loan_Not_Paid*Values_Entered,Beginning_Balance,""), "")</f>
        <v>87956039.460130572</v>
      </c>
      <c r="E291" s="394">
        <f>IFERROR(IF(Loan_Not_Paid*Values_Entered,Monthly_Payment,""), "")</f>
        <v>1270529.7872591855</v>
      </c>
      <c r="F291" s="394">
        <f>IFERROR(IF(Loan_Not_Paid*Values_Entered,Principal,""), "")</f>
        <v>794101.24018349138</v>
      </c>
      <c r="G291" s="394">
        <f>IFERROR(IF(Loan_Not_Paid*Values_Entered,Interest,""), "")</f>
        <v>476428.54707569402</v>
      </c>
      <c r="H291" s="394">
        <f>IFERROR(IF(Loan_Not_Paid*Values_Entered,Ending_Balance,""), "")</f>
        <v>87161938.21994698</v>
      </c>
    </row>
    <row r="292" spans="2:8">
      <c r="B292" s="396">
        <f>IFERROR(IF(Loan_Not_Paid*Values_Entered,Payment_Number,""), "")</f>
        <v>275</v>
      </c>
      <c r="C292" s="395"/>
      <c r="D292" s="394">
        <f>IFERROR(IF(Loan_Not_Paid*Values_Entered,Beginning_Balance,""), "")</f>
        <v>87161938.21994698</v>
      </c>
      <c r="E292" s="394">
        <f>IFERROR(IF(Loan_Not_Paid*Values_Entered,Monthly_Payment,""), "")</f>
        <v>1270529.7872591855</v>
      </c>
      <c r="F292" s="394">
        <f>IFERROR(IF(Loan_Not_Paid*Values_Entered,Principal,""), "")</f>
        <v>798402.62190115196</v>
      </c>
      <c r="G292" s="394">
        <f>IFERROR(IF(Loan_Not_Paid*Values_Entered,Interest,""), "")</f>
        <v>472127.16535803356</v>
      </c>
      <c r="H292" s="394">
        <f>IFERROR(IF(Loan_Not_Paid*Values_Entered,Ending_Balance,""), "")</f>
        <v>86363535.598045945</v>
      </c>
    </row>
    <row r="293" spans="2:8">
      <c r="B293" s="396">
        <f>IFERROR(IF(Loan_Not_Paid*Values_Entered,Payment_Number,""), "")</f>
        <v>276</v>
      </c>
      <c r="C293" s="395"/>
      <c r="D293" s="394">
        <f>IFERROR(IF(Loan_Not_Paid*Values_Entered,Beginning_Balance,""), "")</f>
        <v>86363535.598045945</v>
      </c>
      <c r="E293" s="394">
        <f>IFERROR(IF(Loan_Not_Paid*Values_Entered,Monthly_Payment,""), "")</f>
        <v>1270529.7872591855</v>
      </c>
      <c r="F293" s="394">
        <f>IFERROR(IF(Loan_Not_Paid*Values_Entered,Principal,""), "")</f>
        <v>802727.30276978307</v>
      </c>
      <c r="G293" s="394">
        <f>IFERROR(IF(Loan_Not_Paid*Values_Entered,Interest,""), "")</f>
        <v>467802.48448940233</v>
      </c>
      <c r="H293" s="394">
        <f>IFERROR(IF(Loan_Not_Paid*Values_Entered,Ending_Balance,""), "")</f>
        <v>85560808.295276046</v>
      </c>
    </row>
    <row r="294" spans="2:8">
      <c r="B294" s="396">
        <f>IFERROR(IF(Loan_Not_Paid*Values_Entered,Payment_Number,""), "")</f>
        <v>277</v>
      </c>
      <c r="C294" s="395"/>
      <c r="D294" s="394">
        <f>IFERROR(IF(Loan_Not_Paid*Values_Entered,Beginning_Balance,""), "")</f>
        <v>85560808.295276046</v>
      </c>
      <c r="E294" s="394">
        <f>IFERROR(IF(Loan_Not_Paid*Values_Entered,Monthly_Payment,""), "")</f>
        <v>1270529.7872591855</v>
      </c>
      <c r="F294" s="394">
        <f>IFERROR(IF(Loan_Not_Paid*Values_Entered,Principal,""), "")</f>
        <v>807075.40899311961</v>
      </c>
      <c r="G294" s="394">
        <f>IFERROR(IF(Loan_Not_Paid*Values_Entered,Interest,""), "")</f>
        <v>463454.37826606602</v>
      </c>
      <c r="H294" s="394">
        <f>IFERROR(IF(Loan_Not_Paid*Values_Entered,Ending_Balance,""), "")</f>
        <v>84753732.886282921</v>
      </c>
    </row>
    <row r="295" spans="2:8">
      <c r="B295" s="396">
        <f>IFERROR(IF(Loan_Not_Paid*Values_Entered,Payment_Number,""), "")</f>
        <v>278</v>
      </c>
      <c r="C295" s="395"/>
      <c r="D295" s="394">
        <f>IFERROR(IF(Loan_Not_Paid*Values_Entered,Beginning_Balance,""), "")</f>
        <v>84753732.886282921</v>
      </c>
      <c r="E295" s="394">
        <f>IFERROR(IF(Loan_Not_Paid*Values_Entered,Monthly_Payment,""), "")</f>
        <v>1270529.7872591855</v>
      </c>
      <c r="F295" s="394">
        <f>IFERROR(IF(Loan_Not_Paid*Values_Entered,Principal,""), "")</f>
        <v>811447.06745849899</v>
      </c>
      <c r="G295" s="394">
        <f>IFERROR(IF(Loan_Not_Paid*Values_Entered,Interest,""), "")</f>
        <v>459082.71980068658</v>
      </c>
      <c r="H295" s="394">
        <f>IFERROR(IF(Loan_Not_Paid*Values_Entered,Ending_Balance,""), "")</f>
        <v>83942285.81882453</v>
      </c>
    </row>
    <row r="296" spans="2:8">
      <c r="B296" s="396">
        <f>IFERROR(IF(Loan_Not_Paid*Values_Entered,Payment_Number,""), "")</f>
        <v>279</v>
      </c>
      <c r="C296" s="395"/>
      <c r="D296" s="394">
        <f>IFERROR(IF(Loan_Not_Paid*Values_Entered,Beginning_Balance,""), "")</f>
        <v>83942285.81882453</v>
      </c>
      <c r="E296" s="394">
        <f>IFERROR(IF(Loan_Not_Paid*Values_Entered,Monthly_Payment,""), "")</f>
        <v>1270529.7872591855</v>
      </c>
      <c r="F296" s="394">
        <f>IFERROR(IF(Loan_Not_Paid*Values_Entered,Principal,""), "")</f>
        <v>815842.40574056562</v>
      </c>
      <c r="G296" s="394">
        <f>IFERROR(IF(Loan_Not_Paid*Values_Entered,Interest,""), "")</f>
        <v>454687.38151861966</v>
      </c>
      <c r="H296" s="394">
        <f>IFERROR(IF(Loan_Not_Paid*Values_Entered,Ending_Balance,""), "")</f>
        <v>83126443.41308403</v>
      </c>
    </row>
    <row r="297" spans="2:8">
      <c r="B297" s="396">
        <f>IFERROR(IF(Loan_Not_Paid*Values_Entered,Payment_Number,""), "")</f>
        <v>280</v>
      </c>
      <c r="C297" s="395"/>
      <c r="D297" s="394">
        <f>IFERROR(IF(Loan_Not_Paid*Values_Entered,Beginning_Balance,""), "")</f>
        <v>83126443.41308403</v>
      </c>
      <c r="E297" s="394">
        <f>IFERROR(IF(Loan_Not_Paid*Values_Entered,Monthly_Payment,""), "")</f>
        <v>1270529.7872591855</v>
      </c>
      <c r="F297" s="394">
        <f>IFERROR(IF(Loan_Not_Paid*Values_Entered,Principal,""), "")</f>
        <v>820261.55210499384</v>
      </c>
      <c r="G297" s="394">
        <f>IFERROR(IF(Loan_Not_Paid*Values_Entered,Interest,""), "")</f>
        <v>450268.23515419161</v>
      </c>
      <c r="H297" s="394">
        <f>IFERROR(IF(Loan_Not_Paid*Values_Entered,Ending_Balance,""), "")</f>
        <v>82306181.860978961</v>
      </c>
    </row>
    <row r="298" spans="2:8">
      <c r="B298" s="396">
        <f>IFERROR(IF(Loan_Not_Paid*Values_Entered,Payment_Number,""), "")</f>
        <v>281</v>
      </c>
      <c r="C298" s="395"/>
      <c r="D298" s="394">
        <f>IFERROR(IF(Loan_Not_Paid*Values_Entered,Beginning_Balance,""), "")</f>
        <v>82306181.860978961</v>
      </c>
      <c r="E298" s="394">
        <f>IFERROR(IF(Loan_Not_Paid*Values_Entered,Monthly_Payment,""), "")</f>
        <v>1270529.7872591855</v>
      </c>
      <c r="F298" s="394">
        <f>IFERROR(IF(Loan_Not_Paid*Values_Entered,Principal,""), "")</f>
        <v>824704.63551222906</v>
      </c>
      <c r="G298" s="394">
        <f>IFERROR(IF(Loan_Not_Paid*Values_Entered,Interest,""), "")</f>
        <v>445825.15174695622</v>
      </c>
      <c r="H298" s="394">
        <f>IFERROR(IF(Loan_Not_Paid*Values_Entered,Ending_Balance,""), "")</f>
        <v>81481477.225466728</v>
      </c>
    </row>
    <row r="299" spans="2:8">
      <c r="B299" s="396">
        <f>IFERROR(IF(Loan_Not_Paid*Values_Entered,Payment_Number,""), "")</f>
        <v>282</v>
      </c>
      <c r="C299" s="395"/>
      <c r="D299" s="394">
        <f>IFERROR(IF(Loan_Not_Paid*Values_Entered,Beginning_Balance,""), "")</f>
        <v>81481477.225466728</v>
      </c>
      <c r="E299" s="394">
        <f>IFERROR(IF(Loan_Not_Paid*Values_Entered,Monthly_Payment,""), "")</f>
        <v>1270529.7872591855</v>
      </c>
      <c r="F299" s="394">
        <f>IFERROR(IF(Loan_Not_Paid*Values_Entered,Principal,""), "")</f>
        <v>829171.78562125366</v>
      </c>
      <c r="G299" s="394">
        <f>IFERROR(IF(Loan_Not_Paid*Values_Entered,Interest,""), "")</f>
        <v>441358.00163793162</v>
      </c>
      <c r="H299" s="394">
        <f>IFERROR(IF(Loan_Not_Paid*Values_Entered,Ending_Balance,""), "")</f>
        <v>80652305.439845443</v>
      </c>
    </row>
    <row r="300" spans="2:8">
      <c r="B300" s="396">
        <f>IFERROR(IF(Loan_Not_Paid*Values_Entered,Payment_Number,""), "")</f>
        <v>283</v>
      </c>
      <c r="C300" s="395"/>
      <c r="D300" s="394">
        <f>IFERROR(IF(Loan_Not_Paid*Values_Entered,Beginning_Balance,""), "")</f>
        <v>80652305.439845443</v>
      </c>
      <c r="E300" s="394">
        <f>IFERROR(IF(Loan_Not_Paid*Values_Entered,Monthly_Payment,""), "")</f>
        <v>1270529.7872591855</v>
      </c>
      <c r="F300" s="394">
        <f>IFERROR(IF(Loan_Not_Paid*Values_Entered,Principal,""), "")</f>
        <v>833663.13279336889</v>
      </c>
      <c r="G300" s="394">
        <f>IFERROR(IF(Loan_Not_Paid*Values_Entered,Interest,""), "")</f>
        <v>436866.65446581651</v>
      </c>
      <c r="H300" s="394">
        <f>IFERROR(IF(Loan_Not_Paid*Values_Entered,Ending_Balance,""), "")</f>
        <v>79818642.307052255</v>
      </c>
    </row>
    <row r="301" spans="2:8">
      <c r="B301" s="396">
        <f>IFERROR(IF(Loan_Not_Paid*Values_Entered,Payment_Number,""), "")</f>
        <v>284</v>
      </c>
      <c r="C301" s="395"/>
      <c r="D301" s="394">
        <f>IFERROR(IF(Loan_Not_Paid*Values_Entered,Beginning_Balance,""), "")</f>
        <v>79818642.307052255</v>
      </c>
      <c r="E301" s="394">
        <f>IFERROR(IF(Loan_Not_Paid*Values_Entered,Monthly_Payment,""), "")</f>
        <v>1270529.7872591855</v>
      </c>
      <c r="F301" s="394">
        <f>IFERROR(IF(Loan_Not_Paid*Values_Entered,Principal,""), "")</f>
        <v>838178.80809599953</v>
      </c>
      <c r="G301" s="394">
        <f>IFERROR(IF(Loan_Not_Paid*Values_Entered,Interest,""), "")</f>
        <v>432350.97916318575</v>
      </c>
      <c r="H301" s="394">
        <f>IFERROR(IF(Loan_Not_Paid*Values_Entered,Ending_Balance,""), "")</f>
        <v>78980463.498956323</v>
      </c>
    </row>
    <row r="302" spans="2:8">
      <c r="B302" s="396">
        <f>IFERROR(IF(Loan_Not_Paid*Values_Entered,Payment_Number,""), "")</f>
        <v>285</v>
      </c>
      <c r="C302" s="395"/>
      <c r="D302" s="394">
        <f>IFERROR(IF(Loan_Not_Paid*Values_Entered,Beginning_Balance,""), "")</f>
        <v>78980463.498956323</v>
      </c>
      <c r="E302" s="394">
        <f>IFERROR(IF(Loan_Not_Paid*Values_Entered,Monthly_Payment,""), "")</f>
        <v>1270529.7872591855</v>
      </c>
      <c r="F302" s="394">
        <f>IFERROR(IF(Loan_Not_Paid*Values_Entered,Principal,""), "")</f>
        <v>842718.94330651965</v>
      </c>
      <c r="G302" s="394">
        <f>IFERROR(IF(Loan_Not_Paid*Values_Entered,Interest,""), "")</f>
        <v>427810.8439526658</v>
      </c>
      <c r="H302" s="394">
        <f>IFERROR(IF(Loan_Not_Paid*Values_Entered,Ending_Balance,""), "")</f>
        <v>78137744.555649757</v>
      </c>
    </row>
    <row r="303" spans="2:8">
      <c r="B303" s="396">
        <f>IFERROR(IF(Loan_Not_Paid*Values_Entered,Payment_Number,""), "")</f>
        <v>286</v>
      </c>
      <c r="C303" s="395"/>
      <c r="D303" s="394">
        <f>IFERROR(IF(Loan_Not_Paid*Values_Entered,Beginning_Balance,""), "")</f>
        <v>78137744.555649757</v>
      </c>
      <c r="E303" s="394">
        <f>IFERROR(IF(Loan_Not_Paid*Values_Entered,Monthly_Payment,""), "")</f>
        <v>1270529.7872591855</v>
      </c>
      <c r="F303" s="394">
        <f>IFERROR(IF(Loan_Not_Paid*Values_Entered,Principal,""), "")</f>
        <v>847283.67091609654</v>
      </c>
      <c r="G303" s="394">
        <f>IFERROR(IF(Loan_Not_Paid*Values_Entered,Interest,""), "")</f>
        <v>423246.1163430888</v>
      </c>
      <c r="H303" s="394">
        <f>IFERROR(IF(Loan_Not_Paid*Values_Entered,Ending_Balance,""), "")</f>
        <v>77290460.884733677</v>
      </c>
    </row>
    <row r="304" spans="2:8">
      <c r="B304" s="396">
        <f>IFERROR(IF(Loan_Not_Paid*Values_Entered,Payment_Number,""), "")</f>
        <v>287</v>
      </c>
      <c r="C304" s="395"/>
      <c r="D304" s="394">
        <f>IFERROR(IF(Loan_Not_Paid*Values_Entered,Beginning_Balance,""), "")</f>
        <v>77290460.884733677</v>
      </c>
      <c r="E304" s="394">
        <f>IFERROR(IF(Loan_Not_Paid*Values_Entered,Monthly_Payment,""), "")</f>
        <v>1270529.7872591855</v>
      </c>
      <c r="F304" s="394">
        <f>IFERROR(IF(Loan_Not_Paid*Values_Entered,Principal,""), "")</f>
        <v>851873.12413355883</v>
      </c>
      <c r="G304" s="394">
        <f>IFERROR(IF(Loan_Not_Paid*Values_Entered,Interest,""), "")</f>
        <v>418656.66312562663</v>
      </c>
      <c r="H304" s="394">
        <f>IFERROR(IF(Loan_Not_Paid*Values_Entered,Ending_Balance,""), "")</f>
        <v>76438587.760600209</v>
      </c>
    </row>
    <row r="305" spans="2:8">
      <c r="B305" s="396">
        <f>IFERROR(IF(Loan_Not_Paid*Values_Entered,Payment_Number,""), "")</f>
        <v>288</v>
      </c>
      <c r="C305" s="395"/>
      <c r="D305" s="394">
        <f>IFERROR(IF(Loan_Not_Paid*Values_Entered,Beginning_Balance,""), "")</f>
        <v>76438587.760600209</v>
      </c>
      <c r="E305" s="394">
        <f>IFERROR(IF(Loan_Not_Paid*Values_Entered,Monthly_Payment,""), "")</f>
        <v>1270529.7872591855</v>
      </c>
      <c r="F305" s="394">
        <f>IFERROR(IF(Loan_Not_Paid*Values_Entered,Principal,""), "")</f>
        <v>856487.43688928208</v>
      </c>
      <c r="G305" s="394">
        <f>IFERROR(IF(Loan_Not_Paid*Values_Entered,Interest,""), "")</f>
        <v>414042.35036990314</v>
      </c>
      <c r="H305" s="394">
        <f>IFERROR(IF(Loan_Not_Paid*Values_Entered,Ending_Balance,""), "")</f>
        <v>75582100.323710918</v>
      </c>
    </row>
    <row r="306" spans="2:8">
      <c r="B306" s="396">
        <f>IFERROR(IF(Loan_Not_Paid*Values_Entered,Payment_Number,""), "")</f>
        <v>289</v>
      </c>
      <c r="C306" s="395"/>
      <c r="D306" s="394">
        <f>IFERROR(IF(Loan_Not_Paid*Values_Entered,Beginning_Balance,""), "")</f>
        <v>75582100.323710918</v>
      </c>
      <c r="E306" s="394">
        <f>IFERROR(IF(Loan_Not_Paid*Values_Entered,Monthly_Payment,""), "")</f>
        <v>1270529.7872591855</v>
      </c>
      <c r="F306" s="394">
        <f>IFERROR(IF(Loan_Not_Paid*Values_Entered,Principal,""), "")</f>
        <v>861126.74383909907</v>
      </c>
      <c r="G306" s="394">
        <f>IFERROR(IF(Loan_Not_Paid*Values_Entered,Interest,""), "")</f>
        <v>409403.04342008621</v>
      </c>
      <c r="H306" s="394">
        <f>IFERROR(IF(Loan_Not_Paid*Values_Entered,Ending_Balance,""), "")</f>
        <v>74720973.579871893</v>
      </c>
    </row>
    <row r="307" spans="2:8">
      <c r="B307" s="396">
        <f>IFERROR(IF(Loan_Not_Paid*Values_Entered,Payment_Number,""), "")</f>
        <v>290</v>
      </c>
      <c r="C307" s="395"/>
      <c r="D307" s="394">
        <f>IFERROR(IF(Loan_Not_Paid*Values_Entered,Beginning_Balance,""), "")</f>
        <v>74720973.579871893</v>
      </c>
      <c r="E307" s="394">
        <f>IFERROR(IF(Loan_Not_Paid*Values_Entered,Monthly_Payment,""), "")</f>
        <v>1270529.7872591855</v>
      </c>
      <c r="F307" s="394">
        <f>IFERROR(IF(Loan_Not_Paid*Values_Entered,Principal,""), "")</f>
        <v>865791.18036822765</v>
      </c>
      <c r="G307" s="394">
        <f>IFERROR(IF(Loan_Not_Paid*Values_Entered,Interest,""), "")</f>
        <v>404738.60689095774</v>
      </c>
      <c r="H307" s="394">
        <f>IFERROR(IF(Loan_Not_Paid*Values_Entered,Ending_Balance,""), "")</f>
        <v>73855182.399503469</v>
      </c>
    </row>
    <row r="308" spans="2:8">
      <c r="B308" s="396">
        <f>IFERROR(IF(Loan_Not_Paid*Values_Entered,Payment_Number,""), "")</f>
        <v>291</v>
      </c>
      <c r="C308" s="395"/>
      <c r="D308" s="394">
        <f>IFERROR(IF(Loan_Not_Paid*Values_Entered,Beginning_Balance,""), "")</f>
        <v>73855182.399503469</v>
      </c>
      <c r="E308" s="394">
        <f>IFERROR(IF(Loan_Not_Paid*Values_Entered,Monthly_Payment,""), "")</f>
        <v>1270529.7872591855</v>
      </c>
      <c r="F308" s="394">
        <f>IFERROR(IF(Loan_Not_Paid*Values_Entered,Principal,""), "")</f>
        <v>870480.88259522233</v>
      </c>
      <c r="G308" s="394">
        <f>IFERROR(IF(Loan_Not_Paid*Values_Entered,Interest,""), "")</f>
        <v>400048.90466396324</v>
      </c>
      <c r="H308" s="394">
        <f>IFERROR(IF(Loan_Not_Paid*Values_Entered,Ending_Balance,""), "")</f>
        <v>72984701.516908407</v>
      </c>
    </row>
    <row r="309" spans="2:8">
      <c r="B309" s="396">
        <f>IFERROR(IF(Loan_Not_Paid*Values_Entered,Payment_Number,""), "")</f>
        <v>292</v>
      </c>
      <c r="C309" s="395"/>
      <c r="D309" s="394">
        <f>IFERROR(IF(Loan_Not_Paid*Values_Entered,Beginning_Balance,""), "")</f>
        <v>72984701.516908407</v>
      </c>
      <c r="E309" s="394">
        <f>IFERROR(IF(Loan_Not_Paid*Values_Entered,Monthly_Payment,""), "")</f>
        <v>1270529.7872591855</v>
      </c>
      <c r="F309" s="394">
        <f>IFERROR(IF(Loan_Not_Paid*Values_Entered,Principal,""), "")</f>
        <v>875195.98737594625</v>
      </c>
      <c r="G309" s="394">
        <f>IFERROR(IF(Loan_Not_Paid*Values_Entered,Interest,""), "")</f>
        <v>395333.79988323909</v>
      </c>
      <c r="H309" s="394">
        <f>IFERROR(IF(Loan_Not_Paid*Values_Entered,Ending_Balance,""), "")</f>
        <v>72109505.529532433</v>
      </c>
    </row>
    <row r="310" spans="2:8">
      <c r="B310" s="396">
        <f>IFERROR(IF(Loan_Not_Paid*Values_Entered,Payment_Number,""), "")</f>
        <v>293</v>
      </c>
      <c r="C310" s="395"/>
      <c r="D310" s="394">
        <f>IFERROR(IF(Loan_Not_Paid*Values_Entered,Beginning_Balance,""), "")</f>
        <v>72109505.529532433</v>
      </c>
      <c r="E310" s="394">
        <f>IFERROR(IF(Loan_Not_Paid*Values_Entered,Monthly_Payment,""), "")</f>
        <v>1270529.7872591855</v>
      </c>
      <c r="F310" s="394">
        <f>IFERROR(IF(Loan_Not_Paid*Values_Entered,Principal,""), "")</f>
        <v>879936.63230756612</v>
      </c>
      <c r="G310" s="394">
        <f>IFERROR(IF(Loan_Not_Paid*Values_Entered,Interest,""), "")</f>
        <v>390593.15495161939</v>
      </c>
      <c r="H310" s="394">
        <f>IFERROR(IF(Loan_Not_Paid*Values_Entered,Ending_Balance,""), "")</f>
        <v>71229568.897225022</v>
      </c>
    </row>
    <row r="311" spans="2:8">
      <c r="B311" s="396">
        <f>IFERROR(IF(Loan_Not_Paid*Values_Entered,Payment_Number,""), "")</f>
        <v>294</v>
      </c>
      <c r="C311" s="395"/>
      <c r="D311" s="394">
        <f>IFERROR(IF(Loan_Not_Paid*Values_Entered,Beginning_Balance,""), "")</f>
        <v>71229568.897225022</v>
      </c>
      <c r="E311" s="394">
        <f>IFERROR(IF(Loan_Not_Paid*Values_Entered,Monthly_Payment,""), "")</f>
        <v>1270529.7872591855</v>
      </c>
      <c r="F311" s="394">
        <f>IFERROR(IF(Loan_Not_Paid*Values_Entered,Principal,""), "")</f>
        <v>884702.95573256537</v>
      </c>
      <c r="G311" s="394">
        <f>IFERROR(IF(Loan_Not_Paid*Values_Entered,Interest,""), "")</f>
        <v>385826.83152662008</v>
      </c>
      <c r="H311" s="394">
        <f>IFERROR(IF(Loan_Not_Paid*Values_Entered,Ending_Balance,""), "")</f>
        <v>70344865.941492438</v>
      </c>
    </row>
    <row r="312" spans="2:8">
      <c r="B312" s="396">
        <f>IFERROR(IF(Loan_Not_Paid*Values_Entered,Payment_Number,""), "")</f>
        <v>295</v>
      </c>
      <c r="C312" s="395"/>
      <c r="D312" s="394">
        <f>IFERROR(IF(Loan_Not_Paid*Values_Entered,Beginning_Balance,""), "")</f>
        <v>70344865.941492438</v>
      </c>
      <c r="E312" s="394">
        <f>IFERROR(IF(Loan_Not_Paid*Values_Entered,Monthly_Payment,""), "")</f>
        <v>1270529.7872591855</v>
      </c>
      <c r="F312" s="394">
        <f>IFERROR(IF(Loan_Not_Paid*Values_Entered,Principal,""), "")</f>
        <v>889495.09674278332</v>
      </c>
      <c r="G312" s="394">
        <f>IFERROR(IF(Loan_Not_Paid*Values_Entered,Interest,""), "")</f>
        <v>381034.69051640196</v>
      </c>
      <c r="H312" s="394">
        <f>IFERROR(IF(Loan_Not_Paid*Values_Entered,Ending_Balance,""), "")</f>
        <v>69455370.84474957</v>
      </c>
    </row>
    <row r="313" spans="2:8">
      <c r="B313" s="396">
        <f>IFERROR(IF(Loan_Not_Paid*Values_Entered,Payment_Number,""), "")</f>
        <v>296</v>
      </c>
      <c r="C313" s="395"/>
      <c r="D313" s="394">
        <f>IFERROR(IF(Loan_Not_Paid*Values_Entered,Beginning_Balance,""), "")</f>
        <v>69455370.84474957</v>
      </c>
      <c r="E313" s="394">
        <f>IFERROR(IF(Loan_Not_Paid*Values_Entered,Monthly_Payment,""), "")</f>
        <v>1270529.7872591855</v>
      </c>
      <c r="F313" s="394">
        <f>IFERROR(IF(Loan_Not_Paid*Values_Entered,Principal,""), "")</f>
        <v>894313.19518347364</v>
      </c>
      <c r="G313" s="394">
        <f>IFERROR(IF(Loan_Not_Paid*Values_Entered,Interest,""), "")</f>
        <v>376216.59207571193</v>
      </c>
      <c r="H313" s="394">
        <f>IFERROR(IF(Loan_Not_Paid*Values_Entered,Ending_Balance,""), "")</f>
        <v>68561057.649566174</v>
      </c>
    </row>
    <row r="314" spans="2:8">
      <c r="B314" s="396">
        <f>IFERROR(IF(Loan_Not_Paid*Values_Entered,Payment_Number,""), "")</f>
        <v>297</v>
      </c>
      <c r="C314" s="395"/>
      <c r="D314" s="394">
        <f>IFERROR(IF(Loan_Not_Paid*Values_Entered,Beginning_Balance,""), "")</f>
        <v>68561057.649566174</v>
      </c>
      <c r="E314" s="394">
        <f>IFERROR(IF(Loan_Not_Paid*Values_Entered,Monthly_Payment,""), "")</f>
        <v>1270529.7872591855</v>
      </c>
      <c r="F314" s="394">
        <f>IFERROR(IF(Loan_Not_Paid*Values_Entered,Principal,""), "")</f>
        <v>899157.391657384</v>
      </c>
      <c r="G314" s="394">
        <f>IFERROR(IF(Loan_Not_Paid*Values_Entered,Interest,""), "")</f>
        <v>371372.39560180146</v>
      </c>
      <c r="H314" s="394">
        <f>IFERROR(IF(Loan_Not_Paid*Values_Entered,Ending_Balance,""), "")</f>
        <v>67661900.25790894</v>
      </c>
    </row>
    <row r="315" spans="2:8">
      <c r="B315" s="396">
        <f>IFERROR(IF(Loan_Not_Paid*Values_Entered,Payment_Number,""), "")</f>
        <v>298</v>
      </c>
      <c r="C315" s="395"/>
      <c r="D315" s="394">
        <f>IFERROR(IF(Loan_Not_Paid*Values_Entered,Beginning_Balance,""), "")</f>
        <v>67661900.25790894</v>
      </c>
      <c r="E315" s="394">
        <f>IFERROR(IF(Loan_Not_Paid*Values_Entered,Monthly_Payment,""), "")</f>
        <v>1270529.7872591855</v>
      </c>
      <c r="F315" s="394">
        <f>IFERROR(IF(Loan_Not_Paid*Values_Entered,Principal,""), "")</f>
        <v>904027.82752886147</v>
      </c>
      <c r="G315" s="394">
        <f>IFERROR(IF(Loan_Not_Paid*Values_Entered,Interest,""), "")</f>
        <v>366501.95973032387</v>
      </c>
      <c r="H315" s="394">
        <f>IFERROR(IF(Loan_Not_Paid*Values_Entered,Ending_Balance,""), "")</f>
        <v>66757872.430379987</v>
      </c>
    </row>
    <row r="316" spans="2:8">
      <c r="B316" s="396">
        <f>IFERROR(IF(Loan_Not_Paid*Values_Entered,Payment_Number,""), "")</f>
        <v>299</v>
      </c>
      <c r="C316" s="395"/>
      <c r="D316" s="394">
        <f>IFERROR(IF(Loan_Not_Paid*Values_Entered,Beginning_Balance,""), "")</f>
        <v>66757872.430379987</v>
      </c>
      <c r="E316" s="394">
        <f>IFERROR(IF(Loan_Not_Paid*Values_Entered,Monthly_Payment,""), "")</f>
        <v>1270529.7872591855</v>
      </c>
      <c r="F316" s="394">
        <f>IFERROR(IF(Loan_Not_Paid*Values_Entered,Principal,""), "")</f>
        <v>908924.64492797619</v>
      </c>
      <c r="G316" s="394">
        <f>IFERROR(IF(Loan_Not_Paid*Values_Entered,Interest,""), "")</f>
        <v>361605.14233120927</v>
      </c>
      <c r="H316" s="394">
        <f>IFERROR(IF(Loan_Not_Paid*Values_Entered,Ending_Balance,""), "")</f>
        <v>65848947.785452008</v>
      </c>
    </row>
    <row r="317" spans="2:8">
      <c r="B317" s="396">
        <f>IFERROR(IF(Loan_Not_Paid*Values_Entered,Payment_Number,""), "")</f>
        <v>300</v>
      </c>
      <c r="C317" s="395"/>
      <c r="D317" s="394">
        <f>IFERROR(IF(Loan_Not_Paid*Values_Entered,Beginning_Balance,""), "")</f>
        <v>65848947.785452008</v>
      </c>
      <c r="E317" s="394">
        <f>IFERROR(IF(Loan_Not_Paid*Values_Entered,Monthly_Payment,""), "")</f>
        <v>1270529.7872591855</v>
      </c>
      <c r="F317" s="394">
        <f>IFERROR(IF(Loan_Not_Paid*Values_Entered,Principal,""), "")</f>
        <v>913847.98675466946</v>
      </c>
      <c r="G317" s="394">
        <f>IFERROR(IF(Loan_Not_Paid*Values_Entered,Interest,""), "")</f>
        <v>356681.80050451605</v>
      </c>
      <c r="H317" s="394">
        <f>IFERROR(IF(Loan_Not_Paid*Values_Entered,Ending_Balance,""), "")</f>
        <v>64935099.798697472</v>
      </c>
    </row>
    <row r="318" spans="2:8">
      <c r="B318" s="396">
        <f>IFERROR(IF(Loan_Not_Paid*Values_Entered,Payment_Number,""), "")</f>
        <v>301</v>
      </c>
      <c r="C318" s="395"/>
      <c r="D318" s="394">
        <f>IFERROR(IF(Loan_Not_Paid*Values_Entered,Beginning_Balance,""), "")</f>
        <v>64935099.798697472</v>
      </c>
      <c r="E318" s="394">
        <f>IFERROR(IF(Loan_Not_Paid*Values_Entered,Monthly_Payment,""), "")</f>
        <v>1270529.7872591855</v>
      </c>
      <c r="F318" s="394">
        <f>IFERROR(IF(Loan_Not_Paid*Values_Entered,Principal,""), "")</f>
        <v>918797.99668292375</v>
      </c>
      <c r="G318" s="394">
        <f>IFERROR(IF(Loan_Not_Paid*Values_Entered,Interest,""), "")</f>
        <v>351731.79057626158</v>
      </c>
      <c r="H318" s="394">
        <f>IFERROR(IF(Loan_Not_Paid*Values_Entered,Ending_Balance,""), "")</f>
        <v>64016301.802014589</v>
      </c>
    </row>
    <row r="319" spans="2:8">
      <c r="B319" s="396">
        <f>IFERROR(IF(Loan_Not_Paid*Values_Entered,Payment_Number,""), "")</f>
        <v>302</v>
      </c>
      <c r="C319" s="395"/>
      <c r="D319" s="394">
        <f>IFERROR(IF(Loan_Not_Paid*Values_Entered,Beginning_Balance,""), "")</f>
        <v>64016301.802014589</v>
      </c>
      <c r="E319" s="394">
        <f>IFERROR(IF(Loan_Not_Paid*Values_Entered,Monthly_Payment,""), "")</f>
        <v>1270529.7872591855</v>
      </c>
      <c r="F319" s="394">
        <f>IFERROR(IF(Loan_Not_Paid*Values_Entered,Principal,""), "")</f>
        <v>923774.81916495634</v>
      </c>
      <c r="G319" s="394">
        <f>IFERROR(IF(Loan_Not_Paid*Values_Entered,Interest,""), "")</f>
        <v>346754.96809422912</v>
      </c>
      <c r="H319" s="394">
        <f>IFERROR(IF(Loan_Not_Paid*Values_Entered,Ending_Balance,""), "")</f>
        <v>63092526.982849598</v>
      </c>
    </row>
    <row r="320" spans="2:8">
      <c r="B320" s="396">
        <f>IFERROR(IF(Loan_Not_Paid*Values_Entered,Payment_Number,""), "")</f>
        <v>303</v>
      </c>
      <c r="C320" s="395"/>
      <c r="D320" s="394">
        <f>IFERROR(IF(Loan_Not_Paid*Values_Entered,Beginning_Balance,""), "")</f>
        <v>63092526.982849598</v>
      </c>
      <c r="E320" s="394">
        <f>IFERROR(IF(Loan_Not_Paid*Values_Entered,Monthly_Payment,""), "")</f>
        <v>1270529.7872591855</v>
      </c>
      <c r="F320" s="394">
        <f>IFERROR(IF(Loan_Not_Paid*Values_Entered,Principal,""), "")</f>
        <v>928778.59943543316</v>
      </c>
      <c r="G320" s="394">
        <f>IFERROR(IF(Loan_Not_Paid*Values_Entered,Interest,""), "")</f>
        <v>341751.18782375223</v>
      </c>
      <c r="H320" s="394">
        <f>IFERROR(IF(Loan_Not_Paid*Values_Entered,Ending_Balance,""), "")</f>
        <v>62163748.383414149</v>
      </c>
    </row>
    <row r="321" spans="2:8">
      <c r="B321" s="396">
        <f>IFERROR(IF(Loan_Not_Paid*Values_Entered,Payment_Number,""), "")</f>
        <v>304</v>
      </c>
      <c r="C321" s="395"/>
      <c r="D321" s="394">
        <f>IFERROR(IF(Loan_Not_Paid*Values_Entered,Beginning_Balance,""), "")</f>
        <v>62163748.383414149</v>
      </c>
      <c r="E321" s="394">
        <f>IFERROR(IF(Loan_Not_Paid*Values_Entered,Monthly_Payment,""), "")</f>
        <v>1270529.7872591855</v>
      </c>
      <c r="F321" s="394">
        <f>IFERROR(IF(Loan_Not_Paid*Values_Entered,Principal,""), "")</f>
        <v>933809.48351570836</v>
      </c>
      <c r="G321" s="394">
        <f>IFERROR(IF(Loan_Not_Paid*Values_Entered,Interest,""), "")</f>
        <v>336720.30374347704</v>
      </c>
      <c r="H321" s="394">
        <f>IFERROR(IF(Loan_Not_Paid*Values_Entered,Ending_Balance,""), "")</f>
        <v>61229938.89989841</v>
      </c>
    </row>
    <row r="322" spans="2:8">
      <c r="B322" s="396">
        <f>IFERROR(IF(Loan_Not_Paid*Values_Entered,Payment_Number,""), "")</f>
        <v>305</v>
      </c>
      <c r="C322" s="395"/>
      <c r="D322" s="394">
        <f>IFERROR(IF(Loan_Not_Paid*Values_Entered,Beginning_Balance,""), "")</f>
        <v>61229938.89989841</v>
      </c>
      <c r="E322" s="394">
        <f>IFERROR(IF(Loan_Not_Paid*Values_Entered,Monthly_Payment,""), "")</f>
        <v>1270529.7872591855</v>
      </c>
      <c r="F322" s="394">
        <f>IFERROR(IF(Loan_Not_Paid*Values_Entered,Principal,""), "")</f>
        <v>938867.61821808515</v>
      </c>
      <c r="G322" s="394">
        <f>IFERROR(IF(Loan_Not_Paid*Values_Entered,Interest,""), "")</f>
        <v>331662.16904110025</v>
      </c>
      <c r="H322" s="394">
        <f>IFERROR(IF(Loan_Not_Paid*Values_Entered,Ending_Balance,""), "")</f>
        <v>60291071.281680465</v>
      </c>
    </row>
    <row r="323" spans="2:8">
      <c r="B323" s="396">
        <f>IFERROR(IF(Loan_Not_Paid*Values_Entered,Payment_Number,""), "")</f>
        <v>306</v>
      </c>
      <c r="C323" s="395"/>
      <c r="D323" s="394">
        <f>IFERROR(IF(Loan_Not_Paid*Values_Entered,Beginning_Balance,""), "")</f>
        <v>60291071.281680465</v>
      </c>
      <c r="E323" s="394">
        <f>IFERROR(IF(Loan_Not_Paid*Values_Entered,Monthly_Payment,""), "")</f>
        <v>1270529.7872591855</v>
      </c>
      <c r="F323" s="394">
        <f>IFERROR(IF(Loan_Not_Paid*Values_Entered,Principal,""), "")</f>
        <v>943953.15115009982</v>
      </c>
      <c r="G323" s="394">
        <f>IFERROR(IF(Loan_Not_Paid*Values_Entered,Interest,""), "")</f>
        <v>326576.63610908564</v>
      </c>
      <c r="H323" s="394">
        <f>IFERROR(IF(Loan_Not_Paid*Values_Entered,Ending_Balance,""), "")</f>
        <v>59347118.130530477</v>
      </c>
    </row>
    <row r="324" spans="2:8">
      <c r="B324" s="396">
        <f>IFERROR(IF(Loan_Not_Paid*Values_Entered,Payment_Number,""), "")</f>
        <v>307</v>
      </c>
      <c r="C324" s="395"/>
      <c r="D324" s="394">
        <f>IFERROR(IF(Loan_Not_Paid*Values_Entered,Beginning_Balance,""), "")</f>
        <v>59347118.130530477</v>
      </c>
      <c r="E324" s="394">
        <f>IFERROR(IF(Loan_Not_Paid*Values_Entered,Monthly_Payment,""), "")</f>
        <v>1270529.7872591855</v>
      </c>
      <c r="F324" s="394">
        <f>IFERROR(IF(Loan_Not_Paid*Values_Entered,Principal,""), "")</f>
        <v>949066.23071882955</v>
      </c>
      <c r="G324" s="394">
        <f>IFERROR(IF(Loan_Not_Paid*Values_Entered,Interest,""), "")</f>
        <v>321463.5565403559</v>
      </c>
      <c r="H324" s="394">
        <f>IFERROR(IF(Loan_Not_Paid*Values_Entered,Ending_Balance,""), "")</f>
        <v>58398051.899811506</v>
      </c>
    </row>
    <row r="325" spans="2:8">
      <c r="B325" s="396">
        <f>IFERROR(IF(Loan_Not_Paid*Values_Entered,Payment_Number,""), "")</f>
        <v>308</v>
      </c>
      <c r="C325" s="395"/>
      <c r="D325" s="394">
        <f>IFERROR(IF(Loan_Not_Paid*Values_Entered,Beginning_Balance,""), "")</f>
        <v>58398051.899811506</v>
      </c>
      <c r="E325" s="394">
        <f>IFERROR(IF(Loan_Not_Paid*Values_Entered,Monthly_Payment,""), "")</f>
        <v>1270529.7872591855</v>
      </c>
      <c r="F325" s="394">
        <f>IFERROR(IF(Loan_Not_Paid*Values_Entered,Principal,""), "")</f>
        <v>954207.0061352232</v>
      </c>
      <c r="G325" s="394">
        <f>IFERROR(IF(Loan_Not_Paid*Values_Entered,Interest,""), "")</f>
        <v>316322.7811239622</v>
      </c>
      <c r="H325" s="394">
        <f>IFERROR(IF(Loan_Not_Paid*Values_Entered,Ending_Balance,""), "")</f>
        <v>57443844.893676281</v>
      </c>
    </row>
    <row r="326" spans="2:8">
      <c r="B326" s="396">
        <f>IFERROR(IF(Loan_Not_Paid*Values_Entered,Payment_Number,""), "")</f>
        <v>309</v>
      </c>
      <c r="C326" s="395"/>
      <c r="D326" s="394">
        <f>IFERROR(IF(Loan_Not_Paid*Values_Entered,Beginning_Balance,""), "")</f>
        <v>57443844.893676281</v>
      </c>
      <c r="E326" s="394">
        <f>IFERROR(IF(Loan_Not_Paid*Values_Entered,Monthly_Payment,""), "")</f>
        <v>1270529.7872591855</v>
      </c>
      <c r="F326" s="394">
        <f>IFERROR(IF(Loan_Not_Paid*Values_Entered,Principal,""), "")</f>
        <v>959375.62741845555</v>
      </c>
      <c r="G326" s="394">
        <f>IFERROR(IF(Loan_Not_Paid*Values_Entered,Interest,""), "")</f>
        <v>311154.15984072979</v>
      </c>
      <c r="H326" s="394">
        <f>IFERROR(IF(Loan_Not_Paid*Values_Entered,Ending_Balance,""), "")</f>
        <v>56484469.266258001</v>
      </c>
    </row>
    <row r="327" spans="2:8">
      <c r="B327" s="396">
        <f>IFERROR(IF(Loan_Not_Paid*Values_Entered,Payment_Number,""), "")</f>
        <v>310</v>
      </c>
      <c r="C327" s="395"/>
      <c r="D327" s="394">
        <f>IFERROR(IF(Loan_Not_Paid*Values_Entered,Beginning_Balance,""), "")</f>
        <v>56484469.266258001</v>
      </c>
      <c r="E327" s="394">
        <f>IFERROR(IF(Loan_Not_Paid*Values_Entered,Monthly_Payment,""), "")</f>
        <v>1270529.7872591855</v>
      </c>
      <c r="F327" s="394">
        <f>IFERROR(IF(Loan_Not_Paid*Values_Entered,Principal,""), "")</f>
        <v>964572.2454003056</v>
      </c>
      <c r="G327" s="394">
        <f>IFERROR(IF(Loan_Not_Paid*Values_Entered,Interest,""), "")</f>
        <v>305957.54185887985</v>
      </c>
      <c r="H327" s="394">
        <f>IFERROR(IF(Loan_Not_Paid*Values_Entered,Ending_Balance,""), "")</f>
        <v>55519897.020857573</v>
      </c>
    </row>
    <row r="328" spans="2:8">
      <c r="B328" s="396">
        <f>IFERROR(IF(Loan_Not_Paid*Values_Entered,Payment_Number,""), "")</f>
        <v>311</v>
      </c>
      <c r="C328" s="395"/>
      <c r="D328" s="394">
        <f>IFERROR(IF(Loan_Not_Paid*Values_Entered,Beginning_Balance,""), "")</f>
        <v>55519897.020857573</v>
      </c>
      <c r="E328" s="394">
        <f>IFERROR(IF(Loan_Not_Paid*Values_Entered,Monthly_Payment,""), "")</f>
        <v>1270529.7872591855</v>
      </c>
      <c r="F328" s="394">
        <f>IFERROR(IF(Loan_Not_Paid*Values_Entered,Principal,""), "")</f>
        <v>969797.0117295573</v>
      </c>
      <c r="G328" s="394">
        <f>IFERROR(IF(Loan_Not_Paid*Values_Entered,Interest,""), "")</f>
        <v>300732.77552962821</v>
      </c>
      <c r="H328" s="394">
        <f>IFERROR(IF(Loan_Not_Paid*Values_Entered,Ending_Balance,""), "")</f>
        <v>54550100.009128213</v>
      </c>
    </row>
    <row r="329" spans="2:8">
      <c r="B329" s="396">
        <f>IFERROR(IF(Loan_Not_Paid*Values_Entered,Payment_Number,""), "")</f>
        <v>312</v>
      </c>
      <c r="C329" s="395"/>
      <c r="D329" s="394">
        <f>IFERROR(IF(Loan_Not_Paid*Values_Entered,Beginning_Balance,""), "")</f>
        <v>54550100.009128213</v>
      </c>
      <c r="E329" s="394">
        <f>IFERROR(IF(Loan_Not_Paid*Values_Entered,Monthly_Payment,""), "")</f>
        <v>1270529.7872591855</v>
      </c>
      <c r="F329" s="394">
        <f>IFERROR(IF(Loan_Not_Paid*Values_Entered,Principal,""), "")</f>
        <v>975050.07887642563</v>
      </c>
      <c r="G329" s="394">
        <f>IFERROR(IF(Loan_Not_Paid*Values_Entered,Interest,""), "")</f>
        <v>295479.70838275971</v>
      </c>
      <c r="H329" s="394">
        <f>IFERROR(IF(Loan_Not_Paid*Values_Entered,Ending_Balance,""), "")</f>
        <v>53575049.930251598</v>
      </c>
    </row>
    <row r="330" spans="2:8">
      <c r="B330" s="396">
        <f>IFERROR(IF(Loan_Not_Paid*Values_Entered,Payment_Number,""), "")</f>
        <v>313</v>
      </c>
      <c r="C330" s="395"/>
      <c r="D330" s="394">
        <f>IFERROR(IF(Loan_Not_Paid*Values_Entered,Beginning_Balance,""), "")</f>
        <v>53575049.930251598</v>
      </c>
      <c r="E330" s="394">
        <f>IFERROR(IF(Loan_Not_Paid*Values_Entered,Monthly_Payment,""), "")</f>
        <v>1270529.7872591855</v>
      </c>
      <c r="F330" s="394">
        <f>IFERROR(IF(Loan_Not_Paid*Values_Entered,Principal,""), "")</f>
        <v>980331.60013700638</v>
      </c>
      <c r="G330" s="394">
        <f>IFERROR(IF(Loan_Not_Paid*Values_Entered,Interest,""), "")</f>
        <v>290198.18712217902</v>
      </c>
      <c r="H330" s="394">
        <f>IFERROR(IF(Loan_Not_Paid*Values_Entered,Ending_Balance,""), "")</f>
        <v>52594718.330114841</v>
      </c>
    </row>
    <row r="331" spans="2:8">
      <c r="B331" s="396">
        <f>IFERROR(IF(Loan_Not_Paid*Values_Entered,Payment_Number,""), "")</f>
        <v>314</v>
      </c>
      <c r="C331" s="395"/>
      <c r="D331" s="394">
        <f>IFERROR(IF(Loan_Not_Paid*Values_Entered,Beginning_Balance,""), "")</f>
        <v>52594718.330114841</v>
      </c>
      <c r="E331" s="394">
        <f>IFERROR(IF(Loan_Not_Paid*Values_Entered,Monthly_Payment,""), "")</f>
        <v>1270529.7872591855</v>
      </c>
      <c r="F331" s="394">
        <f>IFERROR(IF(Loan_Not_Paid*Values_Entered,Principal,""), "")</f>
        <v>985641.72963774856</v>
      </c>
      <c r="G331" s="394">
        <f>IFERROR(IF(Loan_Not_Paid*Values_Entered,Interest,""), "")</f>
        <v>284888.05762143695</v>
      </c>
      <c r="H331" s="394">
        <f>IFERROR(IF(Loan_Not_Paid*Values_Entered,Ending_Balance,""), "")</f>
        <v>51609076.600476861</v>
      </c>
    </row>
    <row r="332" spans="2:8">
      <c r="B332" s="396">
        <f>IFERROR(IF(Loan_Not_Paid*Values_Entered,Payment_Number,""), "")</f>
        <v>315</v>
      </c>
      <c r="C332" s="395"/>
      <c r="D332" s="394">
        <f>IFERROR(IF(Loan_Not_Paid*Values_Entered,Beginning_Balance,""), "")</f>
        <v>51609076.600476861</v>
      </c>
      <c r="E332" s="394">
        <f>IFERROR(IF(Loan_Not_Paid*Values_Entered,Monthly_Payment,""), "")</f>
        <v>1270529.7872591855</v>
      </c>
      <c r="F332" s="394">
        <f>IFERROR(IF(Loan_Not_Paid*Values_Entered,Principal,""), "")</f>
        <v>990980.62233995285</v>
      </c>
      <c r="G332" s="394">
        <f>IFERROR(IF(Loan_Not_Paid*Values_Entered,Interest,""), "")</f>
        <v>279549.16491923248</v>
      </c>
      <c r="H332" s="394">
        <f>IFERROR(IF(Loan_Not_Paid*Values_Entered,Ending_Balance,""), "")</f>
        <v>50618095.978136897</v>
      </c>
    </row>
    <row r="333" spans="2:8">
      <c r="B333" s="396">
        <f>IFERROR(IF(Loan_Not_Paid*Values_Entered,Payment_Number,""), "")</f>
        <v>316</v>
      </c>
      <c r="C333" s="395"/>
      <c r="D333" s="394">
        <f>IFERROR(IF(Loan_Not_Paid*Values_Entered,Beginning_Balance,""), "")</f>
        <v>50618095.978136897</v>
      </c>
      <c r="E333" s="394">
        <f>IFERROR(IF(Loan_Not_Paid*Values_Entered,Monthly_Payment,""), "")</f>
        <v>1270529.7872591855</v>
      </c>
      <c r="F333" s="394">
        <f>IFERROR(IF(Loan_Not_Paid*Values_Entered,Principal,""), "")</f>
        <v>996348.43404429452</v>
      </c>
      <c r="G333" s="394">
        <f>IFERROR(IF(Loan_Not_Paid*Values_Entered,Interest,""), "")</f>
        <v>274181.35321489105</v>
      </c>
      <c r="H333" s="394">
        <f>IFERROR(IF(Loan_Not_Paid*Values_Entered,Ending_Balance,""), "")</f>
        <v>49621747.544092774</v>
      </c>
    </row>
    <row r="334" spans="2:8">
      <c r="B334" s="396">
        <f>IFERROR(IF(Loan_Not_Paid*Values_Entered,Payment_Number,""), "")</f>
        <v>317</v>
      </c>
      <c r="C334" s="395"/>
      <c r="D334" s="394">
        <f>IFERROR(IF(Loan_Not_Paid*Values_Entered,Beginning_Balance,""), "")</f>
        <v>49621747.544092774</v>
      </c>
      <c r="E334" s="394">
        <f>IFERROR(IF(Loan_Not_Paid*Values_Entered,Monthly_Payment,""), "")</f>
        <v>1270529.7872591855</v>
      </c>
      <c r="F334" s="394">
        <f>IFERROR(IF(Loan_Not_Paid*Values_Entered,Principal,""), "")</f>
        <v>1001745.3213953676</v>
      </c>
      <c r="G334" s="394">
        <f>IFERROR(IF(Loan_Not_Paid*Values_Entered,Interest,""), "")</f>
        <v>268784.46586381778</v>
      </c>
      <c r="H334" s="394">
        <f>IFERROR(IF(Loan_Not_Paid*Values_Entered,Ending_Balance,""), "")</f>
        <v>48620002.222697616</v>
      </c>
    </row>
    <row r="335" spans="2:8">
      <c r="B335" s="396">
        <f>IFERROR(IF(Loan_Not_Paid*Values_Entered,Payment_Number,""), "")</f>
        <v>318</v>
      </c>
      <c r="C335" s="395"/>
      <c r="D335" s="394">
        <f>IFERROR(IF(Loan_Not_Paid*Values_Entered,Beginning_Balance,""), "")</f>
        <v>48620002.222697616</v>
      </c>
      <c r="E335" s="394">
        <f>IFERROR(IF(Loan_Not_Paid*Values_Entered,Monthly_Payment,""), "")</f>
        <v>1270529.7872591855</v>
      </c>
      <c r="F335" s="394">
        <f>IFERROR(IF(Loan_Not_Paid*Values_Entered,Principal,""), "")</f>
        <v>1007171.4418862592</v>
      </c>
      <c r="G335" s="394">
        <f>IFERROR(IF(Loan_Not_Paid*Values_Entered,Interest,""), "")</f>
        <v>263358.34537292621</v>
      </c>
      <c r="H335" s="394">
        <f>IFERROR(IF(Loan_Not_Paid*Values_Entered,Ending_Balance,""), "")</f>
        <v>47612830.78081131</v>
      </c>
    </row>
    <row r="336" spans="2:8">
      <c r="B336" s="396">
        <f>IFERROR(IF(Loan_Not_Paid*Values_Entered,Payment_Number,""), "")</f>
        <v>319</v>
      </c>
      <c r="C336" s="395"/>
      <c r="D336" s="394">
        <f>IFERROR(IF(Loan_Not_Paid*Values_Entered,Beginning_Balance,""), "")</f>
        <v>47612830.78081131</v>
      </c>
      <c r="E336" s="394">
        <f>IFERROR(IF(Loan_Not_Paid*Values_Entered,Monthly_Payment,""), "")</f>
        <v>1270529.7872591855</v>
      </c>
      <c r="F336" s="394">
        <f>IFERROR(IF(Loan_Not_Paid*Values_Entered,Principal,""), "")</f>
        <v>1012626.953863143</v>
      </c>
      <c r="G336" s="394">
        <f>IFERROR(IF(Loan_Not_Paid*Values_Entered,Interest,""), "")</f>
        <v>257902.83339604229</v>
      </c>
      <c r="H336" s="394">
        <f>IFERROR(IF(Loan_Not_Paid*Values_Entered,Ending_Balance,""), "")</f>
        <v>46600203.826947927</v>
      </c>
    </row>
    <row r="337" spans="2:8">
      <c r="B337" s="396">
        <f>IFERROR(IF(Loan_Not_Paid*Values_Entered,Payment_Number,""), "")</f>
        <v>320</v>
      </c>
      <c r="C337" s="395"/>
      <c r="D337" s="394">
        <f>IFERROR(IF(Loan_Not_Paid*Values_Entered,Beginning_Balance,""), "")</f>
        <v>46600203.826947927</v>
      </c>
      <c r="E337" s="394">
        <f>IFERROR(IF(Loan_Not_Paid*Values_Entered,Monthly_Payment,""), "")</f>
        <v>1270529.7872591855</v>
      </c>
      <c r="F337" s="394">
        <f>IFERROR(IF(Loan_Not_Paid*Values_Entered,Principal,""), "")</f>
        <v>1018112.0165299018</v>
      </c>
      <c r="G337" s="394">
        <f>IFERROR(IF(Loan_Not_Paid*Values_Entered,Interest,""), "")</f>
        <v>252417.7707292836</v>
      </c>
      <c r="H337" s="394">
        <f>IFERROR(IF(Loan_Not_Paid*Values_Entered,Ending_Balance,""), "")</f>
        <v>45582091.810418367</v>
      </c>
    </row>
    <row r="338" spans="2:8">
      <c r="B338" s="396">
        <f>IFERROR(IF(Loan_Not_Paid*Values_Entered,Payment_Number,""), "")</f>
        <v>321</v>
      </c>
      <c r="C338" s="395"/>
      <c r="D338" s="394">
        <f>IFERROR(IF(Loan_Not_Paid*Values_Entered,Beginning_Balance,""), "")</f>
        <v>45582091.810418367</v>
      </c>
      <c r="E338" s="394">
        <f>IFERROR(IF(Loan_Not_Paid*Values_Entered,Monthly_Payment,""), "")</f>
        <v>1270529.7872591855</v>
      </c>
      <c r="F338" s="394">
        <f>IFERROR(IF(Loan_Not_Paid*Values_Entered,Principal,""), "")</f>
        <v>1023626.7899527721</v>
      </c>
      <c r="G338" s="394">
        <f>IFERROR(IF(Loan_Not_Paid*Values_Entered,Interest,""), "")</f>
        <v>246902.99730641334</v>
      </c>
      <c r="H338" s="394">
        <f>IFERROR(IF(Loan_Not_Paid*Values_Entered,Ending_Balance,""), "")</f>
        <v>44558465.020465612</v>
      </c>
    </row>
    <row r="339" spans="2:8">
      <c r="B339" s="396">
        <f>IFERROR(IF(Loan_Not_Paid*Values_Entered,Payment_Number,""), "")</f>
        <v>322</v>
      </c>
      <c r="C339" s="395"/>
      <c r="D339" s="394">
        <f>IFERROR(IF(Loan_Not_Paid*Values_Entered,Beginning_Balance,""), "")</f>
        <v>44558465.020465612</v>
      </c>
      <c r="E339" s="394">
        <f>IFERROR(IF(Loan_Not_Paid*Values_Entered,Monthly_Payment,""), "")</f>
        <v>1270529.7872591855</v>
      </c>
      <c r="F339" s="394">
        <f>IFERROR(IF(Loan_Not_Paid*Values_Entered,Principal,""), "")</f>
        <v>1029171.4350650163</v>
      </c>
      <c r="G339" s="394">
        <f>IFERROR(IF(Loan_Not_Paid*Values_Entered,Interest,""), "")</f>
        <v>241358.35219416913</v>
      </c>
      <c r="H339" s="394">
        <f>IFERROR(IF(Loan_Not_Paid*Values_Entered,Ending_Balance,""), "")</f>
        <v>43529293.585400581</v>
      </c>
    </row>
    <row r="340" spans="2:8">
      <c r="B340" s="396">
        <f>IFERROR(IF(Loan_Not_Paid*Values_Entered,Payment_Number,""), "")</f>
        <v>323</v>
      </c>
      <c r="C340" s="395"/>
      <c r="D340" s="394">
        <f>IFERROR(IF(Loan_Not_Paid*Values_Entered,Beginning_Balance,""), "")</f>
        <v>43529293.585400581</v>
      </c>
      <c r="E340" s="394">
        <f>IFERROR(IF(Loan_Not_Paid*Values_Entered,Monthly_Payment,""), "")</f>
        <v>1270529.7872591855</v>
      </c>
      <c r="F340" s="394">
        <f>IFERROR(IF(Loan_Not_Paid*Values_Entered,Principal,""), "")</f>
        <v>1034746.1136716185</v>
      </c>
      <c r="G340" s="394">
        <f>IFERROR(IF(Loan_Not_Paid*Values_Entered,Interest,""), "")</f>
        <v>235783.67358756697</v>
      </c>
      <c r="H340" s="394">
        <f>IFERROR(IF(Loan_Not_Paid*Values_Entered,Ending_Balance,""), "")</f>
        <v>42494547.471728802</v>
      </c>
    </row>
    <row r="341" spans="2:8">
      <c r="B341" s="396">
        <f>IFERROR(IF(Loan_Not_Paid*Values_Entered,Payment_Number,""), "")</f>
        <v>324</v>
      </c>
      <c r="C341" s="395"/>
      <c r="D341" s="394">
        <f>IFERROR(IF(Loan_Not_Paid*Values_Entered,Beginning_Balance,""), "")</f>
        <v>42494547.471728802</v>
      </c>
      <c r="E341" s="394">
        <f>IFERROR(IF(Loan_Not_Paid*Values_Entered,Monthly_Payment,""), "")</f>
        <v>1270529.7872591855</v>
      </c>
      <c r="F341" s="394">
        <f>IFERROR(IF(Loan_Not_Paid*Values_Entered,Principal,""), "")</f>
        <v>1040350.9884540065</v>
      </c>
      <c r="G341" s="394">
        <f>IFERROR(IF(Loan_Not_Paid*Values_Entered,Interest,""), "")</f>
        <v>230178.79880517905</v>
      </c>
      <c r="H341" s="394">
        <f>IFERROR(IF(Loan_Not_Paid*Values_Entered,Ending_Balance,""), "")</f>
        <v>41454196.483274937</v>
      </c>
    </row>
    <row r="342" spans="2:8">
      <c r="B342" s="396">
        <f>IFERROR(IF(Loan_Not_Paid*Values_Entered,Payment_Number,""), "")</f>
        <v>325</v>
      </c>
      <c r="C342" s="395"/>
      <c r="D342" s="394">
        <f>IFERROR(IF(Loan_Not_Paid*Values_Entered,Beginning_Balance,""), "")</f>
        <v>41454196.483274937</v>
      </c>
      <c r="E342" s="394">
        <f>IFERROR(IF(Loan_Not_Paid*Values_Entered,Monthly_Payment,""), "")</f>
        <v>1270529.7872591855</v>
      </c>
      <c r="F342" s="394">
        <f>IFERROR(IF(Loan_Not_Paid*Values_Entered,Principal,""), "")</f>
        <v>1045986.2229747989</v>
      </c>
      <c r="G342" s="394">
        <f>IFERROR(IF(Loan_Not_Paid*Values_Entered,Interest,""), "")</f>
        <v>224543.56428438649</v>
      </c>
      <c r="H342" s="394">
        <f>IFERROR(IF(Loan_Not_Paid*Values_Entered,Ending_Balance,""), "")</f>
        <v>40408210.260300159</v>
      </c>
    </row>
    <row r="343" spans="2:8">
      <c r="B343" s="396">
        <f>IFERROR(IF(Loan_Not_Paid*Values_Entered,Payment_Number,""), "")</f>
        <v>326</v>
      </c>
      <c r="C343" s="395"/>
      <c r="D343" s="394">
        <f>IFERROR(IF(Loan_Not_Paid*Values_Entered,Beginning_Balance,""), "")</f>
        <v>40408210.260300159</v>
      </c>
      <c r="E343" s="394">
        <f>IFERROR(IF(Loan_Not_Paid*Values_Entered,Monthly_Payment,""), "")</f>
        <v>1270529.7872591855</v>
      </c>
      <c r="F343" s="394">
        <f>IFERROR(IF(Loan_Not_Paid*Values_Entered,Principal,""), "")</f>
        <v>1051651.981682579</v>
      </c>
      <c r="G343" s="394">
        <f>IFERROR(IF(Loan_Not_Paid*Values_Entered,Interest,""), "")</f>
        <v>218877.80557660633</v>
      </c>
      <c r="H343" s="394">
        <f>IFERROR(IF(Loan_Not_Paid*Values_Entered,Ending_Balance,""), "")</f>
        <v>39356558.278617859</v>
      </c>
    </row>
    <row r="344" spans="2:8">
      <c r="B344" s="396">
        <f>IFERROR(IF(Loan_Not_Paid*Values_Entered,Payment_Number,""), "")</f>
        <v>327</v>
      </c>
      <c r="C344" s="395"/>
      <c r="D344" s="394">
        <f>IFERROR(IF(Loan_Not_Paid*Values_Entered,Beginning_Balance,""), "")</f>
        <v>39356558.278617859</v>
      </c>
      <c r="E344" s="394">
        <f>IFERROR(IF(Loan_Not_Paid*Values_Entered,Monthly_Payment,""), "")</f>
        <v>1270529.7872591855</v>
      </c>
      <c r="F344" s="394">
        <f>IFERROR(IF(Loan_Not_Paid*Values_Entered,Principal,""), "")</f>
        <v>1057348.4299166929</v>
      </c>
      <c r="G344" s="394">
        <f>IFERROR(IF(Loan_Not_Paid*Values_Entered,Interest,""), "")</f>
        <v>213181.35734249238</v>
      </c>
      <c r="H344" s="394">
        <f>IFERROR(IF(Loan_Not_Paid*Values_Entered,Ending_Balance,""), "")</f>
        <v>38299209.848701</v>
      </c>
    </row>
    <row r="345" spans="2:8">
      <c r="B345" s="396">
        <f>IFERROR(IF(Loan_Not_Paid*Values_Entered,Payment_Number,""), "")</f>
        <v>328</v>
      </c>
      <c r="C345" s="395"/>
      <c r="D345" s="394">
        <f>IFERROR(IF(Loan_Not_Paid*Values_Entered,Beginning_Balance,""), "")</f>
        <v>38299209.848701</v>
      </c>
      <c r="E345" s="394">
        <f>IFERROR(IF(Loan_Not_Paid*Values_Entered,Monthly_Payment,""), "")</f>
        <v>1270529.7872591855</v>
      </c>
      <c r="F345" s="394">
        <f>IFERROR(IF(Loan_Not_Paid*Values_Entered,Principal,""), "")</f>
        <v>1063075.7339120752</v>
      </c>
      <c r="G345" s="394">
        <f>IFERROR(IF(Loan_Not_Paid*Values_Entered,Interest,""), "")</f>
        <v>207454.05334711028</v>
      </c>
      <c r="H345" s="394">
        <f>IFERROR(IF(Loan_Not_Paid*Values_Entered,Ending_Balance,""), "")</f>
        <v>37236134.114789009</v>
      </c>
    </row>
    <row r="346" spans="2:8">
      <c r="B346" s="396">
        <f>IFERROR(IF(Loan_Not_Paid*Values_Entered,Payment_Number,""), "")</f>
        <v>329</v>
      </c>
      <c r="C346" s="395"/>
      <c r="D346" s="394">
        <f>IFERROR(IF(Loan_Not_Paid*Values_Entered,Beginning_Balance,""), "")</f>
        <v>37236134.114789009</v>
      </c>
      <c r="E346" s="394">
        <f>IFERROR(IF(Loan_Not_Paid*Values_Entered,Monthly_Payment,""), "")</f>
        <v>1270529.7872591855</v>
      </c>
      <c r="F346" s="394">
        <f>IFERROR(IF(Loan_Not_Paid*Values_Entered,Principal,""), "")</f>
        <v>1068834.0608040988</v>
      </c>
      <c r="G346" s="394">
        <f>IFERROR(IF(Loan_Not_Paid*Values_Entered,Interest,""), "")</f>
        <v>201695.72645508655</v>
      </c>
      <c r="H346" s="394">
        <f>IFERROR(IF(Loan_Not_Paid*Values_Entered,Ending_Balance,""), "")</f>
        <v>36167300.053985119</v>
      </c>
    </row>
    <row r="347" spans="2:8">
      <c r="B347" s="396">
        <f>IFERROR(IF(Loan_Not_Paid*Values_Entered,Payment_Number,""), "")</f>
        <v>330</v>
      </c>
      <c r="C347" s="395"/>
      <c r="D347" s="394">
        <f>IFERROR(IF(Loan_Not_Paid*Values_Entered,Beginning_Balance,""), "")</f>
        <v>36167300.053985119</v>
      </c>
      <c r="E347" s="394">
        <f>IFERROR(IF(Loan_Not_Paid*Values_Entered,Monthly_Payment,""), "")</f>
        <v>1270529.7872591855</v>
      </c>
      <c r="F347" s="394">
        <f>IFERROR(IF(Loan_Not_Paid*Values_Entered,Principal,""), "")</f>
        <v>1074623.5786334544</v>
      </c>
      <c r="G347" s="394">
        <f>IFERROR(IF(Loan_Not_Paid*Values_Entered,Interest,""), "")</f>
        <v>195906.20862573103</v>
      </c>
      <c r="H347" s="394">
        <f>IFERROR(IF(Loan_Not_Paid*Values_Entered,Ending_Balance,""), "")</f>
        <v>35092676.475351334</v>
      </c>
    </row>
    <row r="348" spans="2:8">
      <c r="B348" s="396">
        <f>IFERROR(IF(Loan_Not_Paid*Values_Entered,Payment_Number,""), "")</f>
        <v>331</v>
      </c>
      <c r="C348" s="395"/>
      <c r="D348" s="394">
        <f>IFERROR(IF(Loan_Not_Paid*Values_Entered,Beginning_Balance,""), "")</f>
        <v>35092676.475351334</v>
      </c>
      <c r="E348" s="394">
        <f>IFERROR(IF(Loan_Not_Paid*Values_Entered,Monthly_Payment,""), "")</f>
        <v>1270529.7872591855</v>
      </c>
      <c r="F348" s="394">
        <f>IFERROR(IF(Loan_Not_Paid*Values_Entered,Principal,""), "")</f>
        <v>1080444.4563510523</v>
      </c>
      <c r="G348" s="394">
        <f>IFERROR(IF(Loan_Not_Paid*Values_Entered,Interest,""), "")</f>
        <v>190085.33090813312</v>
      </c>
      <c r="H348" s="394">
        <f>IFERROR(IF(Loan_Not_Paid*Values_Entered,Ending_Balance,""), "")</f>
        <v>34012232.01900053</v>
      </c>
    </row>
    <row r="349" spans="2:8">
      <c r="B349" s="396">
        <f>IFERROR(IF(Loan_Not_Paid*Values_Entered,Payment_Number,""), "")</f>
        <v>332</v>
      </c>
      <c r="C349" s="395"/>
      <c r="D349" s="394">
        <f>IFERROR(IF(Loan_Not_Paid*Values_Entered,Beginning_Balance,""), "")</f>
        <v>34012232.01900053</v>
      </c>
      <c r="E349" s="394">
        <f>IFERROR(IF(Loan_Not_Paid*Values_Entered,Monthly_Payment,""), "")</f>
        <v>1270529.7872591855</v>
      </c>
      <c r="F349" s="394">
        <f>IFERROR(IF(Loan_Not_Paid*Values_Entered,Principal,""), "")</f>
        <v>1086296.8638229538</v>
      </c>
      <c r="G349" s="394">
        <f>IFERROR(IF(Loan_Not_Paid*Values_Entered,Interest,""), "")</f>
        <v>184232.92343623156</v>
      </c>
      <c r="H349" s="394">
        <f>IFERROR(IF(Loan_Not_Paid*Values_Entered,Ending_Balance,""), "")</f>
        <v>32925935.155177593</v>
      </c>
    </row>
    <row r="350" spans="2:8">
      <c r="B350" s="396">
        <f>IFERROR(IF(Loan_Not_Paid*Values_Entered,Payment_Number,""), "")</f>
        <v>333</v>
      </c>
      <c r="C350" s="395"/>
      <c r="D350" s="394">
        <f>IFERROR(IF(Loan_Not_Paid*Values_Entered,Beginning_Balance,""), "")</f>
        <v>32925935.155177593</v>
      </c>
      <c r="E350" s="394">
        <f>IFERROR(IF(Loan_Not_Paid*Values_Entered,Monthly_Payment,""), "")</f>
        <v>1270529.7872591855</v>
      </c>
      <c r="F350" s="394">
        <f>IFERROR(IF(Loan_Not_Paid*Values_Entered,Principal,""), "")</f>
        <v>1092180.9718353283</v>
      </c>
      <c r="G350" s="394">
        <f>IFERROR(IF(Loan_Not_Paid*Values_Entered,Interest,""), "")</f>
        <v>178348.81542385728</v>
      </c>
      <c r="H350" s="394">
        <f>IFERROR(IF(Loan_Not_Paid*Values_Entered,Ending_Balance,""), "")</f>
        <v>31833754.183342218</v>
      </c>
    </row>
    <row r="351" spans="2:8">
      <c r="B351" s="396">
        <f>IFERROR(IF(Loan_Not_Paid*Values_Entered,Payment_Number,""), "")</f>
        <v>334</v>
      </c>
      <c r="C351" s="395"/>
      <c r="D351" s="394">
        <f>IFERROR(IF(Loan_Not_Paid*Values_Entered,Beginning_Balance,""), "")</f>
        <v>31833754.183342218</v>
      </c>
      <c r="E351" s="394">
        <f>IFERROR(IF(Loan_Not_Paid*Values_Entered,Monthly_Payment,""), "")</f>
        <v>1270529.7872591855</v>
      </c>
      <c r="F351" s="394">
        <f>IFERROR(IF(Loan_Not_Paid*Values_Entered,Principal,""), "")</f>
        <v>1098096.9520994362</v>
      </c>
      <c r="G351" s="394">
        <f>IFERROR(IF(Loan_Not_Paid*Values_Entered,Interest,""), "")</f>
        <v>172432.83515974923</v>
      </c>
      <c r="H351" s="394">
        <f>IFERROR(IF(Loan_Not_Paid*Values_Entered,Ending_Balance,""), "")</f>
        <v>30735657.231242657</v>
      </c>
    </row>
    <row r="352" spans="2:8">
      <c r="B352" s="396">
        <f>IFERROR(IF(Loan_Not_Paid*Values_Entered,Payment_Number,""), "")</f>
        <v>335</v>
      </c>
      <c r="C352" s="395"/>
      <c r="D352" s="394">
        <f>IFERROR(IF(Loan_Not_Paid*Values_Entered,Beginning_Balance,""), "")</f>
        <v>30735657.231242657</v>
      </c>
      <c r="E352" s="394">
        <f>IFERROR(IF(Loan_Not_Paid*Values_Entered,Monthly_Payment,""), "")</f>
        <v>1270529.7872591855</v>
      </c>
      <c r="F352" s="394">
        <f>IFERROR(IF(Loan_Not_Paid*Values_Entered,Principal,""), "")</f>
        <v>1104044.9772566415</v>
      </c>
      <c r="G352" s="394">
        <f>IFERROR(IF(Loan_Not_Paid*Values_Entered,Interest,""), "")</f>
        <v>166484.81000254393</v>
      </c>
      <c r="H352" s="394">
        <f>IFERROR(IF(Loan_Not_Paid*Values_Entered,Ending_Balance,""), "")</f>
        <v>29631612.253986359</v>
      </c>
    </row>
    <row r="353" spans="2:8">
      <c r="B353" s="396">
        <f>IFERROR(IF(Loan_Not_Paid*Values_Entered,Payment_Number,""), "")</f>
        <v>336</v>
      </c>
      <c r="C353" s="395"/>
      <c r="D353" s="394">
        <f>IFERROR(IF(Loan_Not_Paid*Values_Entered,Beginning_Balance,""), "")</f>
        <v>29631612.253986359</v>
      </c>
      <c r="E353" s="394">
        <f>IFERROR(IF(Loan_Not_Paid*Values_Entered,Monthly_Payment,""), "")</f>
        <v>1270529.7872591855</v>
      </c>
      <c r="F353" s="394">
        <f>IFERROR(IF(Loan_Not_Paid*Values_Entered,Principal,""), "")</f>
        <v>1110025.2208834481</v>
      </c>
      <c r="G353" s="394">
        <f>IFERROR(IF(Loan_Not_Paid*Values_Entered,Interest,""), "")</f>
        <v>160504.56637573714</v>
      </c>
      <c r="H353" s="394">
        <f>IFERROR(IF(Loan_Not_Paid*Values_Entered,Ending_Balance,""), "")</f>
        <v>28521587.033102751</v>
      </c>
    </row>
    <row r="354" spans="2:8">
      <c r="B354" s="396">
        <f>IFERROR(IF(Loan_Not_Paid*Values_Entered,Payment_Number,""), "")</f>
        <v>337</v>
      </c>
      <c r="C354" s="395"/>
      <c r="D354" s="394">
        <f>IFERROR(IF(Loan_Not_Paid*Values_Entered,Beginning_Balance,""), "")</f>
        <v>28521587.033102751</v>
      </c>
      <c r="E354" s="394">
        <f>IFERROR(IF(Loan_Not_Paid*Values_Entered,Monthly_Payment,""), "")</f>
        <v>1270529.7872591855</v>
      </c>
      <c r="F354" s="394">
        <f>IFERROR(IF(Loan_Not_Paid*Values_Entered,Principal,""), "")</f>
        <v>1116037.8574965671</v>
      </c>
      <c r="G354" s="394">
        <f>IFERROR(IF(Loan_Not_Paid*Values_Entered,Interest,""), "")</f>
        <v>154491.92976261844</v>
      </c>
      <c r="H354" s="394">
        <f>IFERROR(IF(Loan_Not_Paid*Values_Entered,Ending_Balance,""), "")</f>
        <v>27405549.175606251</v>
      </c>
    </row>
    <row r="355" spans="2:8">
      <c r="B355" s="396">
        <f>IFERROR(IF(Loan_Not_Paid*Values_Entered,Payment_Number,""), "")</f>
        <v>338</v>
      </c>
      <c r="C355" s="395"/>
      <c r="D355" s="394">
        <f>IFERROR(IF(Loan_Not_Paid*Values_Entered,Beginning_Balance,""), "")</f>
        <v>27405549.175606251</v>
      </c>
      <c r="E355" s="394">
        <f>IFERROR(IF(Loan_Not_Paid*Values_Entered,Monthly_Payment,""), "")</f>
        <v>1270529.7872591855</v>
      </c>
      <c r="F355" s="394">
        <f>IFERROR(IF(Loan_Not_Paid*Values_Entered,Principal,""), "")</f>
        <v>1122083.0625580067</v>
      </c>
      <c r="G355" s="394">
        <f>IFERROR(IF(Loan_Not_Paid*Values_Entered,Interest,""), "")</f>
        <v>148446.72470117873</v>
      </c>
      <c r="H355" s="394">
        <f>IFERROR(IF(Loan_Not_Paid*Values_Entered,Ending_Balance,""), "")</f>
        <v>26283466.113048315</v>
      </c>
    </row>
    <row r="356" spans="2:8">
      <c r="B356" s="396">
        <f>IFERROR(IF(Loan_Not_Paid*Values_Entered,Payment_Number,""), "")</f>
        <v>339</v>
      </c>
      <c r="C356" s="395"/>
      <c r="D356" s="394">
        <f>IFERROR(IF(Loan_Not_Paid*Values_Entered,Beginning_Balance,""), "")</f>
        <v>26283466.113048315</v>
      </c>
      <c r="E356" s="394">
        <f>IFERROR(IF(Loan_Not_Paid*Values_Entered,Monthly_Payment,""), "")</f>
        <v>1270529.7872591855</v>
      </c>
      <c r="F356" s="394">
        <f>IFERROR(IF(Loan_Not_Paid*Values_Entered,Principal,""), "")</f>
        <v>1128161.0124801958</v>
      </c>
      <c r="G356" s="394">
        <f>IFERROR(IF(Loan_Not_Paid*Values_Entered,Interest,""), "")</f>
        <v>142368.77477898952</v>
      </c>
      <c r="H356" s="394">
        <f>IFERROR(IF(Loan_Not_Paid*Values_Entered,Ending_Balance,""), "")</f>
        <v>25155305.100568295</v>
      </c>
    </row>
    <row r="357" spans="2:8">
      <c r="B357" s="396">
        <f>IFERROR(IF(Loan_Not_Paid*Values_Entered,Payment_Number,""), "")</f>
        <v>340</v>
      </c>
      <c r="C357" s="395"/>
      <c r="D357" s="394">
        <f>IFERROR(IF(Loan_Not_Paid*Values_Entered,Beginning_Balance,""), "")</f>
        <v>25155305.100568295</v>
      </c>
      <c r="E357" s="394">
        <f>IFERROR(IF(Loan_Not_Paid*Values_Entered,Monthly_Payment,""), "")</f>
        <v>1270529.7872591855</v>
      </c>
      <c r="F357" s="394">
        <f>IFERROR(IF(Loan_Not_Paid*Values_Entered,Principal,""), "")</f>
        <v>1134271.8846311304</v>
      </c>
      <c r="G357" s="394">
        <f>IFERROR(IF(Loan_Not_Paid*Values_Entered,Interest,""), "")</f>
        <v>136257.90262805513</v>
      </c>
      <c r="H357" s="394">
        <f>IFERROR(IF(Loan_Not_Paid*Values_Entered,Ending_Balance,""), "")</f>
        <v>24021033.215936899</v>
      </c>
    </row>
    <row r="358" spans="2:8">
      <c r="B358" s="396">
        <f>IFERROR(IF(Loan_Not_Paid*Values_Entered,Payment_Number,""), "")</f>
        <v>341</v>
      </c>
      <c r="C358" s="395"/>
      <c r="D358" s="394">
        <f>IFERROR(IF(Loan_Not_Paid*Values_Entered,Beginning_Balance,""), "")</f>
        <v>24021033.215936899</v>
      </c>
      <c r="E358" s="394">
        <f>IFERROR(IF(Loan_Not_Paid*Values_Entered,Monthly_Payment,""), "")</f>
        <v>1270529.7872591855</v>
      </c>
      <c r="F358" s="394">
        <f>IFERROR(IF(Loan_Not_Paid*Values_Entered,Principal,""), "")</f>
        <v>1140415.8573395489</v>
      </c>
      <c r="G358" s="394">
        <f>IFERROR(IF(Loan_Not_Paid*Values_Entered,Interest,""), "")</f>
        <v>130113.9299196365</v>
      </c>
      <c r="H358" s="394">
        <f>IFERROR(IF(Loan_Not_Paid*Values_Entered,Ending_Balance,""), "")</f>
        <v>22880617.358597517</v>
      </c>
    </row>
    <row r="359" spans="2:8">
      <c r="B359" s="396">
        <f>IFERROR(IF(Loan_Not_Paid*Values_Entered,Payment_Number,""), "")</f>
        <v>342</v>
      </c>
      <c r="C359" s="395"/>
      <c r="D359" s="394">
        <f>IFERROR(IF(Loan_Not_Paid*Values_Entered,Beginning_Balance,""), "")</f>
        <v>22880617.358597517</v>
      </c>
      <c r="E359" s="394">
        <f>IFERROR(IF(Loan_Not_Paid*Values_Entered,Monthly_Payment,""), "")</f>
        <v>1270529.7872591855</v>
      </c>
      <c r="F359" s="394">
        <f>IFERROR(IF(Loan_Not_Paid*Values_Entered,Principal,""), "")</f>
        <v>1146593.1099001381</v>
      </c>
      <c r="G359" s="394">
        <f>IFERROR(IF(Loan_Not_Paid*Values_Entered,Interest,""), "")</f>
        <v>123936.67735904727</v>
      </c>
      <c r="H359" s="394">
        <f>IFERROR(IF(Loan_Not_Paid*Values_Entered,Ending_Balance,""), "")</f>
        <v>21734024.248697519</v>
      </c>
    </row>
    <row r="360" spans="2:8">
      <c r="B360" s="396">
        <f>IFERROR(IF(Loan_Not_Paid*Values_Entered,Payment_Number,""), "")</f>
        <v>343</v>
      </c>
      <c r="C360" s="395"/>
      <c r="D360" s="394">
        <f>IFERROR(IF(Loan_Not_Paid*Values_Entered,Beginning_Balance,""), "")</f>
        <v>21734024.248697519</v>
      </c>
      <c r="E360" s="394">
        <f>IFERROR(IF(Loan_Not_Paid*Values_Entered,Monthly_Payment,""), "")</f>
        <v>1270529.7872591855</v>
      </c>
      <c r="F360" s="394">
        <f>IFERROR(IF(Loan_Not_Paid*Values_Entered,Principal,""), "")</f>
        <v>1152803.8225787638</v>
      </c>
      <c r="G360" s="394">
        <f>IFERROR(IF(Loan_Not_Paid*Values_Entered,Interest,""), "")</f>
        <v>117725.96468042153</v>
      </c>
      <c r="H360" s="394">
        <f>IFERROR(IF(Loan_Not_Paid*Values_Entered,Ending_Balance,""), "")</f>
        <v>20581220.426118851</v>
      </c>
    </row>
    <row r="361" spans="2:8">
      <c r="B361" s="396">
        <f>IFERROR(IF(Loan_Not_Paid*Values_Entered,Payment_Number,""), "")</f>
        <v>344</v>
      </c>
      <c r="C361" s="395"/>
      <c r="D361" s="394">
        <f>IFERROR(IF(Loan_Not_Paid*Values_Entered,Beginning_Balance,""), "")</f>
        <v>20581220.426118851</v>
      </c>
      <c r="E361" s="394">
        <f>IFERROR(IF(Loan_Not_Paid*Values_Entered,Monthly_Payment,""), "")</f>
        <v>1270529.7872591855</v>
      </c>
      <c r="F361" s="394">
        <f>IFERROR(IF(Loan_Not_Paid*Values_Entered,Principal,""), "")</f>
        <v>1159048.1766177323</v>
      </c>
      <c r="G361" s="394">
        <f>IFERROR(IF(Loan_Not_Paid*Values_Entered,Interest,""), "")</f>
        <v>111481.61064145324</v>
      </c>
      <c r="H361" s="394">
        <f>IFERROR(IF(Loan_Not_Paid*Values_Entered,Ending_Balance,""), "")</f>
        <v>19422172.24950099</v>
      </c>
    </row>
    <row r="362" spans="2:8">
      <c r="B362" s="396">
        <f>IFERROR(IF(Loan_Not_Paid*Values_Entered,Payment_Number,""), "")</f>
        <v>345</v>
      </c>
      <c r="C362" s="395"/>
      <c r="D362" s="394">
        <f>IFERROR(IF(Loan_Not_Paid*Values_Entered,Beginning_Balance,""), "")</f>
        <v>19422172.24950099</v>
      </c>
      <c r="E362" s="394">
        <f>IFERROR(IF(Loan_Not_Paid*Values_Entered,Monthly_Payment,""), "")</f>
        <v>1270529.7872591855</v>
      </c>
      <c r="F362" s="394">
        <f>IFERROR(IF(Loan_Not_Paid*Values_Entered,Principal,""), "")</f>
        <v>1165326.3542410783</v>
      </c>
      <c r="G362" s="394">
        <f>IFERROR(IF(Loan_Not_Paid*Values_Entered,Interest,""), "")</f>
        <v>105203.43301810716</v>
      </c>
      <c r="H362" s="394">
        <f>IFERROR(IF(Loan_Not_Paid*Values_Entered,Ending_Balance,""), "")</f>
        <v>18256845.895260096</v>
      </c>
    </row>
    <row r="363" spans="2:8">
      <c r="B363" s="396">
        <f>IFERROR(IF(Loan_Not_Paid*Values_Entered,Payment_Number,""), "")</f>
        <v>346</v>
      </c>
      <c r="C363" s="395"/>
      <c r="D363" s="394">
        <f>IFERROR(IF(Loan_Not_Paid*Values_Entered,Beginning_Balance,""), "")</f>
        <v>18256845.895260096</v>
      </c>
      <c r="E363" s="394">
        <f>IFERROR(IF(Loan_Not_Paid*Values_Entered,Monthly_Payment,""), "")</f>
        <v>1270529.7872591855</v>
      </c>
      <c r="F363" s="394">
        <f>IFERROR(IF(Loan_Not_Paid*Values_Entered,Principal,""), "")</f>
        <v>1171638.5386598841</v>
      </c>
      <c r="G363" s="394">
        <f>IFERROR(IF(Loan_Not_Paid*Values_Entered,Interest,""), "")</f>
        <v>98891.248599301325</v>
      </c>
      <c r="H363" s="394">
        <f>IFERROR(IF(Loan_Not_Paid*Values_Entered,Ending_Balance,""), "")</f>
        <v>17085207.356600285</v>
      </c>
    </row>
    <row r="364" spans="2:8">
      <c r="B364" s="396">
        <f>IFERROR(IF(Loan_Not_Paid*Values_Entered,Payment_Number,""), "")</f>
        <v>347</v>
      </c>
      <c r="C364" s="395"/>
      <c r="D364" s="394">
        <f>IFERROR(IF(Loan_Not_Paid*Values_Entered,Beginning_Balance,""), "")</f>
        <v>17085207.356600285</v>
      </c>
      <c r="E364" s="394">
        <f>IFERROR(IF(Loan_Not_Paid*Values_Entered,Monthly_Payment,""), "")</f>
        <v>1270529.7872591855</v>
      </c>
      <c r="F364" s="394">
        <f>IFERROR(IF(Loan_Not_Paid*Values_Entered,Principal,""), "")</f>
        <v>1177984.9140776251</v>
      </c>
      <c r="G364" s="394">
        <f>IFERROR(IF(Loan_Not_Paid*Values_Entered,Interest,""), "")</f>
        <v>92544.873181560295</v>
      </c>
      <c r="H364" s="394">
        <f>IFERROR(IF(Loan_Not_Paid*Values_Entered,Ending_Balance,""), "")</f>
        <v>15907222.442522526</v>
      </c>
    </row>
    <row r="365" spans="2:8">
      <c r="B365" s="396">
        <f>IFERROR(IF(Loan_Not_Paid*Values_Entered,Payment_Number,""), "")</f>
        <v>348</v>
      </c>
      <c r="C365" s="395"/>
      <c r="D365" s="394">
        <f>IFERROR(IF(Loan_Not_Paid*Values_Entered,Beginning_Balance,""), "")</f>
        <v>15907222.442522526</v>
      </c>
      <c r="E365" s="394">
        <f>IFERROR(IF(Loan_Not_Paid*Values_Entered,Monthly_Payment,""), "")</f>
        <v>1270529.7872591855</v>
      </c>
      <c r="F365" s="394">
        <f>IFERROR(IF(Loan_Not_Paid*Values_Entered,Principal,""), "")</f>
        <v>1184365.6656955457</v>
      </c>
      <c r="G365" s="394">
        <f>IFERROR(IF(Loan_Not_Paid*Values_Entered,Interest,""), "")</f>
        <v>86164.121563639812</v>
      </c>
      <c r="H365" s="394">
        <f>IFERROR(IF(Loan_Not_Paid*Values_Entered,Ending_Balance,""), "")</f>
        <v>14722856.776826859</v>
      </c>
    </row>
    <row r="366" spans="2:8">
      <c r="B366" s="396">
        <f>IFERROR(IF(Loan_Not_Paid*Values_Entered,Payment_Number,""), "")</f>
        <v>349</v>
      </c>
      <c r="C366" s="395"/>
      <c r="D366" s="394">
        <f>IFERROR(IF(Loan_Not_Paid*Values_Entered,Beginning_Balance,""), "")</f>
        <v>14722856.776826859</v>
      </c>
      <c r="E366" s="394">
        <f>IFERROR(IF(Loan_Not_Paid*Values_Entered,Monthly_Payment,""), "")</f>
        <v>1270529.7872591855</v>
      </c>
      <c r="F366" s="394">
        <f>IFERROR(IF(Loan_Not_Paid*Values_Entered,Principal,""), "")</f>
        <v>1190780.979718063</v>
      </c>
      <c r="G366" s="394">
        <f>IFERROR(IF(Loan_Not_Paid*Values_Entered,Interest,""), "")</f>
        <v>79748.807541122267</v>
      </c>
      <c r="H366" s="394">
        <f>IFERROR(IF(Loan_Not_Paid*Values_Entered,Ending_Balance,""), "")</f>
        <v>13532075.797109127</v>
      </c>
    </row>
    <row r="367" spans="2:8">
      <c r="B367" s="396">
        <f>IFERROR(IF(Loan_Not_Paid*Values_Entered,Payment_Number,""), "")</f>
        <v>350</v>
      </c>
      <c r="C367" s="395"/>
      <c r="D367" s="394">
        <f>IFERROR(IF(Loan_Not_Paid*Values_Entered,Beginning_Balance,""), "")</f>
        <v>13532075.797109127</v>
      </c>
      <c r="E367" s="394">
        <f>IFERROR(IF(Loan_Not_Paid*Values_Entered,Monthly_Payment,""), "")</f>
        <v>1270529.7872591855</v>
      </c>
      <c r="F367" s="394">
        <f>IFERROR(IF(Loan_Not_Paid*Values_Entered,Principal,""), "")</f>
        <v>1197231.0433582026</v>
      </c>
      <c r="G367" s="394">
        <f>IFERROR(IF(Loan_Not_Paid*Values_Entered,Interest,""), "")</f>
        <v>73298.743900982765</v>
      </c>
      <c r="H367" s="394">
        <f>IFERROR(IF(Loan_Not_Paid*Values_Entered,Ending_Balance,""), "")</f>
        <v>12334844.753750801</v>
      </c>
    </row>
    <row r="368" spans="2:8">
      <c r="B368" s="396">
        <f>IFERROR(IF(Loan_Not_Paid*Values_Entered,Payment_Number,""), "")</f>
        <v>351</v>
      </c>
      <c r="C368" s="395"/>
      <c r="D368" s="394">
        <f>IFERROR(IF(Loan_Not_Paid*Values_Entered,Beginning_Balance,""), "")</f>
        <v>12334844.753750801</v>
      </c>
      <c r="E368" s="394">
        <f>IFERROR(IF(Loan_Not_Paid*Values_Entered,Monthly_Payment,""), "")</f>
        <v>1270529.7872591855</v>
      </c>
      <c r="F368" s="394">
        <f>IFERROR(IF(Loan_Not_Paid*Values_Entered,Principal,""), "")</f>
        <v>1203716.0448430597</v>
      </c>
      <c r="G368" s="394">
        <f>IFERROR(IF(Loan_Not_Paid*Values_Entered,Interest,""), "")</f>
        <v>66813.742416125824</v>
      </c>
      <c r="H368" s="394">
        <f>IFERROR(IF(Loan_Not_Paid*Values_Entered,Ending_Balance,""), "")</f>
        <v>11131128.708907843</v>
      </c>
    </row>
    <row r="369" spans="2:8">
      <c r="B369" s="396">
        <f>IFERROR(IF(Loan_Not_Paid*Values_Entered,Payment_Number,""), "")</f>
        <v>352</v>
      </c>
      <c r="C369" s="395"/>
      <c r="D369" s="394">
        <f>IFERROR(IF(Loan_Not_Paid*Values_Entered,Beginning_Balance,""), "")</f>
        <v>11131128.708907843</v>
      </c>
      <c r="E369" s="394">
        <f>IFERROR(IF(Loan_Not_Paid*Values_Entered,Monthly_Payment,""), "")</f>
        <v>1270529.7872591855</v>
      </c>
      <c r="F369" s="394">
        <f>IFERROR(IF(Loan_Not_Paid*Values_Entered,Principal,""), "")</f>
        <v>1210236.1734192928</v>
      </c>
      <c r="G369" s="394">
        <f>IFERROR(IF(Loan_Not_Paid*Values_Entered,Interest,""), "")</f>
        <v>60293.613839892583</v>
      </c>
      <c r="H369" s="394">
        <f>IFERROR(IF(Loan_Not_Paid*Values_Entered,Ending_Balance,""), "")</f>
        <v>9920892.5354886055</v>
      </c>
    </row>
    <row r="370" spans="2:8">
      <c r="B370" s="396">
        <f>IFERROR(IF(Loan_Not_Paid*Values_Entered,Payment_Number,""), "")</f>
        <v>353</v>
      </c>
      <c r="C370" s="395"/>
      <c r="D370" s="394">
        <f>IFERROR(IF(Loan_Not_Paid*Values_Entered,Beginning_Balance,""), "")</f>
        <v>9920892.5354886055</v>
      </c>
      <c r="E370" s="394">
        <f>IFERROR(IF(Loan_Not_Paid*Values_Entered,Monthly_Payment,""), "")</f>
        <v>1270529.7872591855</v>
      </c>
      <c r="F370" s="394">
        <f>IFERROR(IF(Loan_Not_Paid*Values_Entered,Principal,""), "")</f>
        <v>1216791.6193586474</v>
      </c>
      <c r="G370" s="394">
        <f>IFERROR(IF(Loan_Not_Paid*Values_Entered,Interest,""), "")</f>
        <v>53738.167900538087</v>
      </c>
      <c r="H370" s="394">
        <f>IFERROR(IF(Loan_Not_Paid*Values_Entered,Ending_Balance,""), "")</f>
        <v>8704100.9161298275</v>
      </c>
    </row>
    <row r="371" spans="2:8">
      <c r="B371" s="396">
        <f>IFERROR(IF(Loan_Not_Paid*Values_Entered,Payment_Number,""), "")</f>
        <v>354</v>
      </c>
      <c r="C371" s="395"/>
      <c r="D371" s="394">
        <f>IFERROR(IF(Loan_Not_Paid*Values_Entered,Beginning_Balance,""), "")</f>
        <v>8704100.9161298275</v>
      </c>
      <c r="E371" s="394">
        <f>IFERROR(IF(Loan_Not_Paid*Values_Entered,Monthly_Payment,""), "")</f>
        <v>1270529.7872591855</v>
      </c>
      <c r="F371" s="394">
        <f>IFERROR(IF(Loan_Not_Paid*Values_Entered,Principal,""), "")</f>
        <v>1223382.5739635066</v>
      </c>
      <c r="G371" s="394">
        <f>IFERROR(IF(Loan_Not_Paid*Values_Entered,Interest,""), "")</f>
        <v>47147.213295678746</v>
      </c>
      <c r="H371" s="394">
        <f>IFERROR(IF(Loan_Not_Paid*Values_Entered,Ending_Balance,""), "")</f>
        <v>7480718.3421666622</v>
      </c>
    </row>
    <row r="372" spans="2:8">
      <c r="B372" s="396">
        <f>IFERROR(IF(Loan_Not_Paid*Values_Entered,Payment_Number,""), "")</f>
        <v>355</v>
      </c>
      <c r="C372" s="395"/>
      <c r="D372" s="394">
        <f>IFERROR(IF(Loan_Not_Paid*Values_Entered,Beginning_Balance,""), "")</f>
        <v>7480718.3421666622</v>
      </c>
      <c r="E372" s="394">
        <f>IFERROR(IF(Loan_Not_Paid*Values_Entered,Monthly_Payment,""), "")</f>
        <v>1270529.7872591855</v>
      </c>
      <c r="F372" s="394">
        <f>IFERROR(IF(Loan_Not_Paid*Values_Entered,Principal,""), "")</f>
        <v>1230009.2295724759</v>
      </c>
      <c r="G372" s="394">
        <f>IFERROR(IF(Loan_Not_Paid*Values_Entered,Interest,""), "")</f>
        <v>40520.557686709748</v>
      </c>
      <c r="H372" s="394">
        <f>IFERROR(IF(Loan_Not_Paid*Values_Entered,Ending_Balance,""), "")</f>
        <v>6250709.1125938892</v>
      </c>
    </row>
    <row r="373" spans="2:8">
      <c r="B373" s="396">
        <f>IFERROR(IF(Loan_Not_Paid*Values_Entered,Payment_Number,""), "")</f>
        <v>356</v>
      </c>
      <c r="C373" s="395"/>
      <c r="D373" s="394">
        <f>IFERROR(IF(Loan_Not_Paid*Values_Entered,Beginning_Balance,""), "")</f>
        <v>6250709.1125938892</v>
      </c>
      <c r="E373" s="394">
        <f>IFERROR(IF(Loan_Not_Paid*Values_Entered,Monthly_Payment,""), "")</f>
        <v>1270529.7872591855</v>
      </c>
      <c r="F373" s="394">
        <f>IFERROR(IF(Loan_Not_Paid*Values_Entered,Principal,""), "")</f>
        <v>1236671.7795659932</v>
      </c>
      <c r="G373" s="394">
        <f>IFERROR(IF(Loan_Not_Paid*Values_Entered,Interest,""), "")</f>
        <v>33858.007693192172</v>
      </c>
      <c r="H373" s="394">
        <f>IFERROR(IF(Loan_Not_Paid*Values_Entered,Ending_Balance,""), "")</f>
        <v>5014037.3330280781</v>
      </c>
    </row>
    <row r="374" spans="2:8">
      <c r="B374" s="396">
        <f>IFERROR(IF(Loan_Not_Paid*Values_Entered,Payment_Number,""), "")</f>
        <v>357</v>
      </c>
      <c r="C374" s="395"/>
      <c r="D374" s="394">
        <f>IFERROR(IF(Loan_Not_Paid*Values_Entered,Beginning_Balance,""), "")</f>
        <v>5014037.3330280781</v>
      </c>
      <c r="E374" s="394">
        <f>IFERROR(IF(Loan_Not_Paid*Values_Entered,Monthly_Payment,""), "")</f>
        <v>1270529.7872591855</v>
      </c>
      <c r="F374" s="394">
        <f>IFERROR(IF(Loan_Not_Paid*Values_Entered,Principal,""), "")</f>
        <v>1243370.4183719759</v>
      </c>
      <c r="G374" s="394">
        <f>IFERROR(IF(Loan_Not_Paid*Values_Entered,Interest,""), "")</f>
        <v>27159.368887209705</v>
      </c>
      <c r="H374" s="394">
        <f>IFERROR(IF(Loan_Not_Paid*Values_Entered,Ending_Balance,""), "")</f>
        <v>3770666.9146561623</v>
      </c>
    </row>
    <row r="375" spans="2:8">
      <c r="B375" s="396">
        <f>IFERROR(IF(Loan_Not_Paid*Values_Entered,Payment_Number,""), "")</f>
        <v>358</v>
      </c>
      <c r="C375" s="395"/>
      <c r="D375" s="394">
        <f>IFERROR(IF(Loan_Not_Paid*Values_Entered,Beginning_Balance,""), "")</f>
        <v>3770666.9146561623</v>
      </c>
      <c r="E375" s="394">
        <f>IFERROR(IF(Loan_Not_Paid*Values_Entered,Monthly_Payment,""), "")</f>
        <v>1270529.7872591855</v>
      </c>
      <c r="F375" s="394">
        <f>IFERROR(IF(Loan_Not_Paid*Values_Entered,Principal,""), "")</f>
        <v>1250105.3414714905</v>
      </c>
      <c r="G375" s="394">
        <f>IFERROR(IF(Loan_Not_Paid*Values_Entered,Interest,""), "")</f>
        <v>20424.445787694836</v>
      </c>
      <c r="H375" s="394">
        <f>IFERROR(IF(Loan_Not_Paid*Values_Entered,Ending_Balance,""), "")</f>
        <v>2520561.5731844902</v>
      </c>
    </row>
    <row r="376" spans="2:8">
      <c r="B376" s="396">
        <f>IFERROR(IF(Loan_Not_Paid*Values_Entered,Payment_Number,""), "")</f>
        <v>359</v>
      </c>
      <c r="C376" s="395"/>
      <c r="D376" s="394">
        <f>IFERROR(IF(Loan_Not_Paid*Values_Entered,Beginning_Balance,""), "")</f>
        <v>2520561.5731844902</v>
      </c>
      <c r="E376" s="394">
        <f>IFERROR(IF(Loan_Not_Paid*Values_Entered,Monthly_Payment,""), "")</f>
        <v>1270529.7872591855</v>
      </c>
      <c r="F376" s="394">
        <f>IFERROR(IF(Loan_Not_Paid*Values_Entered,Principal,""), "")</f>
        <v>1256876.7454044612</v>
      </c>
      <c r="G376" s="394">
        <f>IFERROR(IF(Loan_Not_Paid*Values_Entered,Interest,""), "")</f>
        <v>13653.041854724261</v>
      </c>
      <c r="H376" s="394">
        <f>IFERROR(IF(Loan_Not_Paid*Values_Entered,Ending_Balance,""), "")</f>
        <v>1263684.8277802467</v>
      </c>
    </row>
    <row r="377" spans="2:8">
      <c r="B377" s="396">
        <f>IFERROR(IF(Loan_Not_Paid*Values_Entered,Payment_Number,""), "")</f>
        <v>360</v>
      </c>
      <c r="C377" s="395"/>
      <c r="D377" s="394">
        <f>IFERROR(IF(Loan_Not_Paid*Values_Entered,Beginning_Balance,""), "")</f>
        <v>1263684.8277802467</v>
      </c>
      <c r="E377" s="394">
        <f>IFERROR(IF(Loan_Not_Paid*Values_Entered,Monthly_Payment,""), "")</f>
        <v>1270529.7872591855</v>
      </c>
      <c r="F377" s="394">
        <f>IFERROR(IF(Loan_Not_Paid*Values_Entered,Principal,""), "")</f>
        <v>1263684.827775402</v>
      </c>
      <c r="G377" s="394">
        <f>IFERROR(IF(Loan_Not_Paid*Values_Entered,Interest,""), "")</f>
        <v>6844.9594837834293</v>
      </c>
      <c r="H377" s="394">
        <f>IFERROR(IF(Loan_Not_Paid*Values_Entered,Ending_Balance,""), "")</f>
        <v>5.0067901611328125E-6</v>
      </c>
    </row>
  </sheetData>
  <mergeCells count="9">
    <mergeCell ref="B9:D9"/>
    <mergeCell ref="B10:D10"/>
    <mergeCell ref="B11:D11"/>
    <mergeCell ref="B2:E2"/>
    <mergeCell ref="B3:D3"/>
    <mergeCell ref="B4:D4"/>
    <mergeCell ref="B5:D5"/>
    <mergeCell ref="B6:D6"/>
    <mergeCell ref="B8:D8"/>
  </mergeCells>
  <conditionalFormatting sqref="C18:G377">
    <cfRule type="expression" dxfId="7" priority="1" stopIfTrue="1">
      <formula>NOT(Loan_Not_Paid)</formula>
    </cfRule>
    <cfRule type="expression" dxfId="6" priority="2" stopIfTrue="1">
      <formula>IF(ROW(C18)=Last_Row,TRUE,FALSE)</formula>
    </cfRule>
  </conditionalFormatting>
  <conditionalFormatting sqref="B18:B377">
    <cfRule type="expression" dxfId="5" priority="3" stopIfTrue="1">
      <formula>NOT(Loan_Not_Paid)</formula>
    </cfRule>
    <cfRule type="expression" dxfId="4" priority="4" stopIfTrue="1">
      <formula>IF(ROW(B18)=Last_Row,TRUE,FALSE)</formula>
    </cfRule>
  </conditionalFormatting>
  <conditionalFormatting sqref="H18:H377">
    <cfRule type="expression" dxfId="3" priority="5" stopIfTrue="1">
      <formula>NOT(Loan_Not_Paid)</formula>
    </cfRule>
    <cfRule type="expression" dxfId="2" priority="6" stopIfTrue="1">
      <formula>IF(ROW(H18)=Last_Row,TRUE,FALSE)</formula>
    </cfRule>
  </conditionalFormatting>
  <dataValidations count="26">
    <dataValidation allowBlank="1" showInputMessage="1" showErrorMessage="1" prompt="Enter Annual interest rate in this cell" sqref="E4" xr:uid="{01B1030E-148E-4C9E-9ABA-90AAE8895E29}"/>
    <dataValidation allowBlank="1" showInputMessage="1" showErrorMessage="1" prompt="Ending Balance is automatically updated in this column under this heading" sqref="H17" xr:uid="{58F32596-B814-4E02-B892-0C3204670D2F}"/>
    <dataValidation allowBlank="1" showInputMessage="1" showErrorMessage="1" prompt="Interest amount is automatically updated in this column under this heading" sqref="G17" xr:uid="{28D51438-54A5-4B1A-9B28-F89DA20C0E89}"/>
    <dataValidation allowBlank="1" showInputMessage="1" showErrorMessage="1" prompt="Principal amount is automatically updated in this column under this heading" sqref="F17" xr:uid="{970B66B5-1749-4BA7-8DAE-336BFFFD339D}"/>
    <dataValidation allowBlank="1" showInputMessage="1" showErrorMessage="1" prompt="Payment amount is automatically calculated in this column under this heading" sqref="E17" xr:uid="{68A0E0A6-C2C8-4B1F-A6B7-D9400A252561}"/>
    <dataValidation allowBlank="1" showInputMessage="1" showErrorMessage="1" prompt="Beginning Balance is automatically calculated in this column under this heading" sqref="D17" xr:uid="{A1CC1E88-F722-4965-A3C8-21F790EFA884}"/>
    <dataValidation allowBlank="1" showInputMessage="1" showErrorMessage="1" prompt="Payment Date is automatically updated in this column under this heading" sqref="C17" xr:uid="{BE491E64-CA0E-4704-B3A1-5A82648CB541}"/>
    <dataValidation allowBlank="1" showInputMessage="1" showErrorMessage="1" prompt="Payment Number is automatically updated in this column under this heading" sqref="B17" xr:uid="{E62B2802-87B4-4757-9880-3908DAC902C4}"/>
    <dataValidation allowBlank="1" showInputMessage="1" showErrorMessage="1" prompt="Enter values in cells E3 through E6 for each description in column B. Values in cells E8 through E11 are automatically calculated" sqref="B2" xr:uid="{BAB3234C-44FD-4E06-88D4-BFF87D2241A6}"/>
    <dataValidation allowBlank="1" showInputMessage="1" showErrorMessage="1" prompt="Total interest is automatically calculated in this cell" sqref="E10" xr:uid="{8163B2DA-DEB3-48FD-8E47-ECAC91CA3ADB}"/>
    <dataValidation allowBlank="1" showInputMessage="1" showErrorMessage="1" prompt="Total interest is automatically calculated in cell at right" sqref="B10:D10" xr:uid="{60EC0BD9-3892-4453-A04E-DCEA71A113AC}"/>
    <dataValidation allowBlank="1" showInputMessage="1" showErrorMessage="1" prompt="Number of payments is automatically calculated in this cell" sqref="E9" xr:uid="{35E64C6B-7C70-4E53-A572-2658F7CEFCC9}"/>
    <dataValidation allowBlank="1" showInputMessage="1" showErrorMessage="1" prompt="Number of payments is automatically calculated in cell at right" sqref="B9:D9" xr:uid="{CF9E3593-1EF8-4CA1-AC6A-C2A5C299E27B}"/>
    <dataValidation allowBlank="1" showInputMessage="1" showErrorMessage="1" prompt="Monthly payment is automatically calculated in this cell" sqref="E8" xr:uid="{C5FE64D3-046D-40E0-8605-54812118D5EA}"/>
    <dataValidation allowBlank="1" showInputMessage="1" showErrorMessage="1" prompt="Monthly payment is automatically calculated in cell at right" sqref="B8:D8" xr:uid="{4CAF74F7-EB2B-44F7-9FA1-09038D986A32}"/>
    <dataValidation allowBlank="1" showInputMessage="1" showErrorMessage="1" prompt="Enter Start date of loan in this cell" sqref="E6" xr:uid="{1E7C1D73-E19F-4D63-8A55-5B2F3AAFB65F}"/>
    <dataValidation allowBlank="1" showInputMessage="1" showErrorMessage="1" prompt="Enter Start date of loan in cell at right" sqref="B6:D6" xr:uid="{12F3F9C8-C7C6-42BC-96B3-8C6F4FC4557E}"/>
    <dataValidation allowBlank="1" showInputMessage="1" showErrorMessage="1" prompt="Enter Loan period in years in this cell" sqref="E5" xr:uid="{CC492FE2-B1F5-4D90-95C6-72FD5EE36DFF}"/>
    <dataValidation allowBlank="1" showInputMessage="1" showErrorMessage="1" prompt="Enter Loan period in years in cell at right" sqref="B5:D5" xr:uid="{8B8B58EF-55B5-4C88-B2CA-CEB69B814D6B}"/>
    <dataValidation allowBlank="1" showInputMessage="1" showErrorMessage="1" prompt="Enter Annual interest rate in cell at right" sqref="B4:D4" xr:uid="{9DE84B56-D3D2-4570-A10A-8B04A4506D0E}"/>
    <dataValidation allowBlank="1" showInputMessage="1" showErrorMessage="1" prompt="Enter Loan amount in this cell" sqref="E3" xr:uid="{DE8A3E3E-3079-4BCD-9274-48B9877AFDBE}"/>
    <dataValidation allowBlank="1" showInputMessage="1" showErrorMessage="1" prompt="Enter Loan amount in cell at right" sqref="B3:D3" xr:uid="{00C7EA33-3D9B-4D32-A397-4A8C7D3846FB}"/>
    <dataValidation allowBlank="1" showInputMessage="1" showErrorMessage="1" prompt="Title of this worksheet is in this cell. Enter Loan values in cells E3 through E6. Loan summary in cells E8 through E11 and Loan table are automatically updated" sqref="B1" xr:uid="{52817BF0-79F6-44D4-B854-5F06D2BFEA9A}"/>
    <dataValidation allowBlank="1" showInputMessage="1" showErrorMessage="1" prompt="Create a loan repayment schedule using this Loan calculator and amortization worksheet. Total interest and total payments are automatically calculated" sqref="A1" xr:uid="{2772815E-D58D-46B7-944D-D112B428D56E}"/>
    <dataValidation allowBlank="1" showInputMessage="1" showErrorMessage="1" prompt="Total cost of loan is automatically calculated in this cell" sqref="E11:E14 E16" xr:uid="{6382B218-3B3E-441C-917D-03C88D66DC86}"/>
    <dataValidation allowBlank="1" showInputMessage="1" showErrorMessage="1" prompt="Total cost of loan is automatically calculated in cell at right" sqref="B11:D14 B15 B16:D16" xr:uid="{4770E0B2-BDD3-4014-A751-5725F50EDC96}"/>
  </dataValidations>
  <printOptions horizontalCentered="1"/>
  <pageMargins left="0.5" right="0.5" top="1" bottom="1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2BF08-3028-4BA5-94DE-2877BA8E8036}">
  <dimension ref="A2:E75"/>
  <sheetViews>
    <sheetView topLeftCell="A56" zoomScale="55" zoomScaleNormal="55" workbookViewId="0">
      <selection activeCell="B81" sqref="B81"/>
    </sheetView>
    <sheetView workbookViewId="1"/>
  </sheetViews>
  <sheetFormatPr defaultColWidth="8.734375" defaultRowHeight="14.4"/>
  <cols>
    <col min="1" max="2" width="8.734375" style="309"/>
    <col min="3" max="3" width="12.5234375" style="309" bestFit="1" customWidth="1"/>
    <col min="4" max="16384" width="8.734375" style="309"/>
  </cols>
  <sheetData>
    <row r="2" spans="1:2">
      <c r="B2" s="309" t="s">
        <v>390</v>
      </c>
    </row>
    <row r="3" spans="1:2">
      <c r="A3" s="309" t="s">
        <v>461</v>
      </c>
      <c r="B3" s="314" t="s">
        <v>389</v>
      </c>
    </row>
    <row r="4" spans="1:2">
      <c r="B4" s="314" t="s">
        <v>388</v>
      </c>
    </row>
    <row r="5" spans="1:2">
      <c r="A5" s="309" t="s">
        <v>461</v>
      </c>
      <c r="B5" s="314" t="s">
        <v>387</v>
      </c>
    </row>
    <row r="6" spans="1:2">
      <c r="A6" s="309" t="s">
        <v>461</v>
      </c>
      <c r="B6" s="314" t="s">
        <v>386</v>
      </c>
    </row>
    <row r="7" spans="1:2">
      <c r="B7" s="314" t="s">
        <v>385</v>
      </c>
    </row>
    <row r="8" spans="1:2">
      <c r="A8" s="309" t="s">
        <v>461</v>
      </c>
      <c r="B8" s="314" t="s">
        <v>399</v>
      </c>
    </row>
    <row r="9" spans="1:2">
      <c r="B9" s="314" t="s">
        <v>400</v>
      </c>
    </row>
    <row r="10" spans="1:2">
      <c r="B10" s="314"/>
    </row>
    <row r="11" spans="1:2">
      <c r="B11" s="309" t="s">
        <v>383</v>
      </c>
    </row>
    <row r="12" spans="1:2">
      <c r="A12" s="309" t="s">
        <v>461</v>
      </c>
      <c r="B12" s="314" t="s">
        <v>384</v>
      </c>
    </row>
    <row r="15" spans="1:2">
      <c r="B15" s="309" t="s">
        <v>383</v>
      </c>
    </row>
    <row r="16" spans="1:2">
      <c r="B16" s="314" t="s">
        <v>382</v>
      </c>
    </row>
    <row r="17" spans="1:5">
      <c r="B17" s="314" t="s">
        <v>381</v>
      </c>
    </row>
    <row r="18" spans="1:5">
      <c r="A18" s="309" t="s">
        <v>461</v>
      </c>
      <c r="B18" s="314" t="s">
        <v>380</v>
      </c>
    </row>
    <row r="19" spans="1:5">
      <c r="A19" s="309" t="s">
        <v>461</v>
      </c>
      <c r="B19" s="314" t="s">
        <v>379</v>
      </c>
    </row>
    <row r="22" spans="1:5">
      <c r="B22" s="309" t="s">
        <v>378</v>
      </c>
    </row>
    <row r="26" spans="1:5">
      <c r="B26" s="309" t="s">
        <v>377</v>
      </c>
    </row>
    <row r="27" spans="1:5">
      <c r="B27" s="309" t="s">
        <v>213</v>
      </c>
    </row>
    <row r="32" spans="1:5">
      <c r="B32" s="564" t="s">
        <v>537</v>
      </c>
      <c r="C32" s="309">
        <v>1500</v>
      </c>
      <c r="E32" s="334">
        <v>43560</v>
      </c>
    </row>
    <row r="33" spans="2:4">
      <c r="B33" s="564" t="s">
        <v>538</v>
      </c>
      <c r="C33" s="309">
        <v>1850</v>
      </c>
    </row>
    <row r="34" spans="2:4">
      <c r="C34" s="566">
        <f>C32*C33</f>
        <v>2775000</v>
      </c>
      <c r="D34" s="309">
        <f>C34/E32</f>
        <v>63.705234159779614</v>
      </c>
    </row>
    <row r="35" spans="2:4">
      <c r="B35" s="564" t="s">
        <v>537</v>
      </c>
      <c r="C35" s="309">
        <v>200</v>
      </c>
    </row>
    <row r="36" spans="2:4">
      <c r="B36" s="564" t="s">
        <v>538</v>
      </c>
      <c r="C36" s="309">
        <v>400</v>
      </c>
    </row>
    <row r="37" spans="2:4">
      <c r="C37" s="566">
        <f>C35*C36</f>
        <v>80000</v>
      </c>
      <c r="D37" s="309">
        <f>C37/E32</f>
        <v>1.8365472910927456</v>
      </c>
    </row>
    <row r="38" spans="2:4">
      <c r="D38" s="309">
        <f>SUM(D34:D37)</f>
        <v>65.541781450872364</v>
      </c>
    </row>
    <row r="41" spans="2:4">
      <c r="B41" s="564" t="s">
        <v>539</v>
      </c>
    </row>
    <row r="42" spans="2:4">
      <c r="B42" s="309">
        <v>2011</v>
      </c>
      <c r="C42" s="309">
        <v>295000</v>
      </c>
    </row>
    <row r="43" spans="2:4">
      <c r="B43" s="309">
        <v>2017</v>
      </c>
      <c r="C43" s="309">
        <v>301000</v>
      </c>
    </row>
    <row r="44" spans="2:4">
      <c r="B44" s="564" t="s">
        <v>540</v>
      </c>
      <c r="C44" s="309">
        <f>C43-C42</f>
        <v>6000</v>
      </c>
    </row>
    <row r="45" spans="2:4">
      <c r="B45" s="564" t="s">
        <v>228</v>
      </c>
      <c r="C45" s="567">
        <f>C44/C42</f>
        <v>2.0338983050847456E-2</v>
      </c>
    </row>
    <row r="47" spans="2:4">
      <c r="B47" s="564" t="s">
        <v>541</v>
      </c>
    </row>
    <row r="48" spans="2:4">
      <c r="B48" s="309">
        <v>2010</v>
      </c>
      <c r="C48" s="309">
        <v>11.6</v>
      </c>
    </row>
    <row r="49" spans="2:4">
      <c r="B49" s="309">
        <v>2018</v>
      </c>
      <c r="C49" s="309">
        <v>4.0999999999999996</v>
      </c>
    </row>
    <row r="53" spans="2:4">
      <c r="B53" s="564" t="s">
        <v>131</v>
      </c>
    </row>
    <row r="54" spans="2:4">
      <c r="B54" s="564" t="s">
        <v>542</v>
      </c>
    </row>
    <row r="55" spans="2:4">
      <c r="B55" s="564" t="s">
        <v>543</v>
      </c>
    </row>
    <row r="58" spans="2:4">
      <c r="B58" s="564" t="s">
        <v>544</v>
      </c>
    </row>
    <row r="62" spans="2:4">
      <c r="B62" s="564" t="s">
        <v>310</v>
      </c>
    </row>
    <row r="63" spans="2:4">
      <c r="B63" s="309">
        <v>1790</v>
      </c>
    </row>
    <row r="64" spans="2:4">
      <c r="B64" s="309">
        <v>180</v>
      </c>
      <c r="C64" s="566">
        <f>B63*B64</f>
        <v>322200</v>
      </c>
      <c r="D64" s="309">
        <f>C64/E32</f>
        <v>7.3966942148760326</v>
      </c>
    </row>
    <row r="74" spans="2:4">
      <c r="B74" s="309">
        <v>200</v>
      </c>
    </row>
    <row r="75" spans="2:4">
      <c r="B75" s="309">
        <v>150</v>
      </c>
      <c r="C75" s="565">
        <f>B74*B75</f>
        <v>30000</v>
      </c>
      <c r="D75" s="309">
        <f>C75/E32</f>
        <v>0.68870523415977958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DBFFE-3CEC-4049-97E4-ABF85AE12A5B}">
  <dimension ref="A1:O108"/>
  <sheetViews>
    <sheetView tabSelected="1" showWhiteSpace="0" view="pageBreakPreview" zoomScale="70" zoomScaleNormal="100" zoomScaleSheetLayoutView="70" workbookViewId="0">
      <selection activeCell="G100" sqref="G100"/>
    </sheetView>
    <sheetView tabSelected="1" view="pageLayout" zoomScaleNormal="55" workbookViewId="1">
      <selection activeCell="P2" sqref="P2"/>
    </sheetView>
  </sheetViews>
  <sheetFormatPr defaultColWidth="9.15625" defaultRowHeight="14.2" customHeight="1"/>
  <cols>
    <col min="1" max="1" width="9" style="421" customWidth="1"/>
    <col min="2" max="2" width="13.26171875" style="421" customWidth="1"/>
    <col min="3" max="3" width="13.62890625" style="422" customWidth="1"/>
    <col min="4" max="12" width="13.62890625" style="421" customWidth="1"/>
    <col min="13" max="13" width="18.89453125" style="421" customWidth="1"/>
    <col min="14" max="14" width="14.15625" style="421" customWidth="1"/>
    <col min="15" max="15" width="9.734375" style="421" customWidth="1"/>
    <col min="16" max="16384" width="9.15625" style="421"/>
  </cols>
  <sheetData>
    <row r="1" spans="1:15" s="440" customFormat="1" ht="13.5" customHeight="1">
      <c r="A1" s="555" t="s">
        <v>545</v>
      </c>
      <c r="B1" s="555"/>
      <c r="C1" s="556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494" t="s">
        <v>528</v>
      </c>
      <c r="O1" s="493">
        <v>193737</v>
      </c>
    </row>
    <row r="2" spans="1:15" ht="11.25" customHeight="1">
      <c r="A2" s="492"/>
      <c r="B2" s="492"/>
      <c r="D2" s="544"/>
      <c r="E2" s="545" t="s">
        <v>527</v>
      </c>
      <c r="F2" s="475"/>
      <c r="G2" s="545" t="s">
        <v>531</v>
      </c>
      <c r="H2" s="475"/>
      <c r="I2" s="545" t="s">
        <v>532</v>
      </c>
      <c r="J2" s="475"/>
      <c r="K2" s="475"/>
      <c r="L2" s="475"/>
      <c r="M2" s="475"/>
      <c r="N2" s="475"/>
      <c r="O2" s="475"/>
    </row>
    <row r="3" spans="1:15" ht="11.25" customHeight="1">
      <c r="A3" s="445"/>
      <c r="B3" s="445"/>
      <c r="D3" s="463">
        <v>0</v>
      </c>
      <c r="E3" s="546">
        <v>1</v>
      </c>
      <c r="F3" s="463">
        <f t="shared" ref="F3:M3" si="0">E3+1</f>
        <v>2</v>
      </c>
      <c r="G3" s="520">
        <f t="shared" si="0"/>
        <v>3</v>
      </c>
      <c r="H3" s="463">
        <f t="shared" si="0"/>
        <v>4</v>
      </c>
      <c r="I3" s="520">
        <f t="shared" si="0"/>
        <v>5</v>
      </c>
      <c r="J3" s="463">
        <f t="shared" si="0"/>
        <v>6</v>
      </c>
      <c r="K3" s="463">
        <f t="shared" si="0"/>
        <v>7</v>
      </c>
      <c r="L3" s="463">
        <f t="shared" si="0"/>
        <v>8</v>
      </c>
      <c r="M3" s="504">
        <f t="shared" si="0"/>
        <v>9</v>
      </c>
      <c r="N3" s="504">
        <v>10</v>
      </c>
      <c r="O3" s="504"/>
    </row>
    <row r="4" spans="1:15" ht="11.25" customHeight="1">
      <c r="A4" s="456" t="s">
        <v>526</v>
      </c>
      <c r="B4" s="456"/>
      <c r="D4" s="484"/>
      <c r="E4" s="547"/>
      <c r="F4" s="460"/>
      <c r="G4" s="521"/>
      <c r="H4" s="460"/>
      <c r="I4" s="521"/>
      <c r="J4" s="460"/>
      <c r="K4" s="460"/>
      <c r="L4" s="460"/>
      <c r="M4" s="461"/>
      <c r="N4" s="461"/>
      <c r="O4" s="461"/>
    </row>
    <row r="5" spans="1:15" ht="11.25" customHeight="1">
      <c r="A5" s="614" t="s">
        <v>486</v>
      </c>
      <c r="B5" s="429" t="s">
        <v>482</v>
      </c>
      <c r="D5" s="501">
        <f>combined!D5+combined!D63+combined!D119</f>
        <v>0</v>
      </c>
      <c r="E5" s="522">
        <f>combined!E5+combined!E63+combined!E119</f>
        <v>0</v>
      </c>
      <c r="F5" s="501">
        <f>combined!F5+combined!F63+combined!F119</f>
        <v>0</v>
      </c>
      <c r="G5" s="522">
        <f>combined!G5+combined!G63+combined!G119</f>
        <v>2997586.7861802797</v>
      </c>
      <c r="H5" s="501">
        <f>combined!H5+combined!H63+combined!H119</f>
        <v>10126442.127292678</v>
      </c>
      <c r="I5" s="522">
        <f>combined!I5+combined!I63+combined!I119</f>
        <v>11469373.206744427</v>
      </c>
      <c r="J5" s="501">
        <f>combined!J5+combined!J63+combined!J119</f>
        <v>14137150.230102386</v>
      </c>
      <c r="K5" s="501">
        <f>combined!K5+combined!K63+combined!K119</f>
        <v>15476913.428561464</v>
      </c>
      <c r="L5" s="501">
        <f>combined!L5+combined!L63+combined!L119</f>
        <v>18343137.613793537</v>
      </c>
      <c r="M5" s="501">
        <f>combined!M5+combined!M63+combined!M119</f>
        <v>18710000.366069406</v>
      </c>
      <c r="N5" s="501">
        <f>combined!N5+combined!N63+combined!N119</f>
        <v>19084200.373390794</v>
      </c>
      <c r="O5" s="495"/>
    </row>
    <row r="6" spans="1:15" ht="11.25" customHeight="1">
      <c r="A6" s="615"/>
      <c r="B6" s="429" t="s">
        <v>481</v>
      </c>
      <c r="D6" s="501">
        <f>combined!D6+combined!D64+combined!D120</f>
        <v>0</v>
      </c>
      <c r="E6" s="522">
        <f>combined!E6+combined!E64+combined!E120</f>
        <v>0</v>
      </c>
      <c r="F6" s="501">
        <f>combined!F6+combined!F64+combined!F120</f>
        <v>0</v>
      </c>
      <c r="G6" s="522">
        <f>combined!G6+combined!G64+combined!G120</f>
        <v>17681425.953927357</v>
      </c>
      <c r="H6" s="501">
        <f>combined!H6+combined!H64+combined!H120</f>
        <v>18035054.473005902</v>
      </c>
      <c r="I6" s="522">
        <f>combined!I6+combined!I64+combined!I120</f>
        <v>44721949.315943606</v>
      </c>
      <c r="J6" s="501">
        <f>combined!J6+combined!J64+combined!J120</f>
        <v>45616388.302262485</v>
      </c>
      <c r="K6" s="501">
        <f>combined!K6+combined!K64+combined!K120</f>
        <v>0</v>
      </c>
      <c r="L6" s="501">
        <f>combined!L6+combined!L64+combined!L120</f>
        <v>0</v>
      </c>
      <c r="M6" s="501">
        <f>combined!M6+combined!M64+combined!M120</f>
        <v>0</v>
      </c>
      <c r="N6" s="501">
        <f>combined!N6+combined!N64+combined!N120</f>
        <v>0</v>
      </c>
      <c r="O6" s="496"/>
    </row>
    <row r="7" spans="1:15" ht="11.25" hidden="1" customHeight="1">
      <c r="A7" s="436" t="s">
        <v>484</v>
      </c>
      <c r="B7" s="429" t="s">
        <v>482</v>
      </c>
      <c r="D7" s="501"/>
      <c r="E7" s="522"/>
      <c r="F7" s="501"/>
      <c r="G7" s="522"/>
      <c r="H7" s="501"/>
      <c r="I7" s="522"/>
      <c r="J7" s="501"/>
      <c r="K7" s="501"/>
      <c r="L7" s="501"/>
      <c r="M7" s="501"/>
      <c r="N7" s="501"/>
      <c r="O7" s="496"/>
    </row>
    <row r="8" spans="1:15" ht="11.25" customHeight="1">
      <c r="A8" s="614" t="s">
        <v>483</v>
      </c>
      <c r="B8" s="429" t="s">
        <v>482</v>
      </c>
      <c r="D8" s="501">
        <f>combined!D7+combined!D65+combined!D121</f>
        <v>0</v>
      </c>
      <c r="E8" s="522">
        <f>combined!E7+combined!E65+combined!E121</f>
        <v>0</v>
      </c>
      <c r="F8" s="501">
        <f>combined!F7+combined!F65+combined!F121</f>
        <v>0</v>
      </c>
      <c r="G8" s="522">
        <f>combined!G7+combined!G65+combined!G121</f>
        <v>1088068.6319396391</v>
      </c>
      <c r="H8" s="501">
        <f>combined!H7+combined!H65+combined!H121</f>
        <v>1109830.0045784318</v>
      </c>
      <c r="I8" s="522">
        <f>combined!I7+combined!I65+combined!I121</f>
        <v>1399478.9847193151</v>
      </c>
      <c r="J8" s="501">
        <f>combined!J7+combined!J65+combined!J121</f>
        <v>1427468.5644137012</v>
      </c>
      <c r="K8" s="501">
        <f>combined!K7+combined!K65+combined!K121</f>
        <v>2439269.9373427951</v>
      </c>
      <c r="L8" s="501">
        <f>combined!L7+combined!L65+combined!L121</f>
        <v>2488055.3360896502</v>
      </c>
      <c r="M8" s="501">
        <f>combined!M7+combined!M65+combined!M121</f>
        <v>2537816.4428114435</v>
      </c>
      <c r="N8" s="501">
        <f>combined!N7+combined!N65+combined!N121</f>
        <v>2588572.7716676723</v>
      </c>
      <c r="O8" s="496"/>
    </row>
    <row r="9" spans="1:15" ht="11.25" hidden="1" customHeight="1">
      <c r="A9" s="615"/>
      <c r="B9" s="429" t="s">
        <v>481</v>
      </c>
      <c r="D9" s="501"/>
      <c r="E9" s="522"/>
      <c r="F9" s="501"/>
      <c r="G9" s="522"/>
      <c r="H9" s="501"/>
      <c r="I9" s="522"/>
      <c r="J9" s="501"/>
      <c r="K9" s="501"/>
      <c r="L9" s="501"/>
      <c r="M9" s="501"/>
      <c r="N9" s="501"/>
      <c r="O9" s="496"/>
    </row>
    <row r="10" spans="1:15" ht="11.25" customHeight="1">
      <c r="A10" s="590" t="s">
        <v>479</v>
      </c>
      <c r="B10" s="590"/>
      <c r="D10" s="501">
        <f>combined!D8+combined!D66+combined!D122</f>
        <v>0</v>
      </c>
      <c r="E10" s="522">
        <f>combined!E8+combined!E66+combined!E122</f>
        <v>0</v>
      </c>
      <c r="F10" s="501">
        <f>combined!F8+combined!F66+combined!F122</f>
        <v>0</v>
      </c>
      <c r="G10" s="522">
        <f>combined!G8+combined!G66+combined!G122</f>
        <v>5690064.8940519439</v>
      </c>
      <c r="H10" s="501">
        <f>combined!H8+combined!H66+combined!H122</f>
        <v>11607732.383865964</v>
      </c>
      <c r="I10" s="522">
        <f>combined!I8+combined!I66+combined!I122</f>
        <v>21406138.694456547</v>
      </c>
      <c r="J10" s="501">
        <f>combined!J8+combined!J66+combined!J122</f>
        <v>25553495.77843013</v>
      </c>
      <c r="K10" s="501">
        <f>combined!K8+combined!K66+combined!K122</f>
        <v>36324029.261721879</v>
      </c>
      <c r="L10" s="501">
        <f>combined!L8+combined!L66+combined!L122</f>
        <v>43645671.309822053</v>
      </c>
      <c r="M10" s="501">
        <f>combined!M8+combined!M66+combined!M122</f>
        <v>51245649.428141557</v>
      </c>
      <c r="N10" s="501">
        <f>combined!N8+combined!N66+combined!N122</f>
        <v>52270562.416704372</v>
      </c>
      <c r="O10" s="496"/>
    </row>
    <row r="11" spans="1:15" ht="11.25" customHeight="1">
      <c r="A11" s="590" t="s">
        <v>495</v>
      </c>
      <c r="B11" s="590"/>
      <c r="D11" s="501">
        <f>combined!D9+combined!D67+combined!D123</f>
        <v>0</v>
      </c>
      <c r="E11" s="522">
        <f>combined!E9+combined!E67+combined!E123</f>
        <v>0</v>
      </c>
      <c r="F11" s="501">
        <f>combined!F9+combined!F67+combined!F123</f>
        <v>0</v>
      </c>
      <c r="G11" s="522">
        <f>combined!G9+combined!G67+combined!G123</f>
        <v>6460598.814531249</v>
      </c>
      <c r="H11" s="501">
        <f>combined!H9+combined!H67+combined!H123</f>
        <v>13179621.581643749</v>
      </c>
      <c r="I11" s="522">
        <f>combined!I9+combined!I67+combined!I123</f>
        <v>15744414.293144096</v>
      </c>
      <c r="J11" s="501">
        <f>combined!J9+combined!J67+combined!J123</f>
        <v>18406526.864471801</v>
      </c>
      <c r="K11" s="501">
        <f>combined!K9+combined!K67+combined!K123</f>
        <v>19365396.295292396</v>
      </c>
      <c r="L11" s="501">
        <f>combined!L9+combined!L67+combined!L123</f>
        <v>20355257.892600015</v>
      </c>
      <c r="M11" s="501">
        <f>combined!M9+combined!M67+combined!M123</f>
        <v>20762363.050452013</v>
      </c>
      <c r="N11" s="501">
        <f>combined!N9+combined!N67+combined!N123</f>
        <v>21177610.311461058</v>
      </c>
      <c r="O11" s="496"/>
    </row>
    <row r="12" spans="1:15" ht="11.25" hidden="1" customHeight="1">
      <c r="A12" s="429"/>
      <c r="B12" s="429" t="s">
        <v>494</v>
      </c>
      <c r="D12" s="501"/>
      <c r="E12" s="522"/>
      <c r="F12" s="501"/>
      <c r="G12" s="522"/>
      <c r="H12" s="501"/>
      <c r="I12" s="522"/>
      <c r="J12" s="501"/>
      <c r="K12" s="501"/>
      <c r="L12" s="501"/>
      <c r="M12" s="501"/>
      <c r="N12" s="501"/>
      <c r="O12" s="496"/>
    </row>
    <row r="13" spans="1:15" ht="11.25" customHeight="1">
      <c r="A13" s="590" t="s">
        <v>145</v>
      </c>
      <c r="B13" s="590"/>
      <c r="D13" s="501">
        <f>combined!D10+combined!D68+combined!D124</f>
        <v>0</v>
      </c>
      <c r="E13" s="522">
        <f>combined!E10+combined!E68+combined!E124</f>
        <v>0</v>
      </c>
      <c r="F13" s="501">
        <f>combined!F10+combined!F68+combined!F124</f>
        <v>0</v>
      </c>
      <c r="G13" s="522">
        <f>combined!G10+combined!G68+combined!G124</f>
        <v>3104867.3720046016</v>
      </c>
      <c r="H13" s="501">
        <f>combined!H10+combined!H68+combined!H124</f>
        <v>3166964.7194446926</v>
      </c>
      <c r="I13" s="522">
        <f>combined!I10+combined!I68+combined!I124</f>
        <v>9421348.5937224831</v>
      </c>
      <c r="J13" s="501">
        <f>combined!J10+combined!J68+combined!J124</f>
        <v>9609775.5655969344</v>
      </c>
      <c r="K13" s="501">
        <f>combined!K10+combined!K68+combined!K124</f>
        <v>9801971.0769088734</v>
      </c>
      <c r="L13" s="501">
        <f>combined!L10+combined!L68+combined!L124</f>
        <v>9998010.4984470475</v>
      </c>
      <c r="M13" s="501">
        <f>combined!M10+combined!M68+combined!M124</f>
        <v>10197970.708415991</v>
      </c>
      <c r="N13" s="501">
        <f>combined!N10+combined!N68+combined!N124</f>
        <v>10401930.122584309</v>
      </c>
      <c r="O13" s="496"/>
    </row>
    <row r="14" spans="1:15" ht="11.25" customHeight="1">
      <c r="A14" s="590" t="s">
        <v>474</v>
      </c>
      <c r="B14" s="590"/>
      <c r="D14" s="501">
        <f>combined!D11+combined!D69+combined!D123</f>
        <v>0</v>
      </c>
      <c r="E14" s="522">
        <f>combined!E11+combined!E69+combined!E123</f>
        <v>0</v>
      </c>
      <c r="F14" s="501">
        <f>combined!F11+combined!F69+combined!F123</f>
        <v>0</v>
      </c>
      <c r="G14" s="522">
        <f>combined!G11+combined!G69+combined!G123</f>
        <v>0</v>
      </c>
      <c r="H14" s="501">
        <f>combined!H11+combined!H69+combined!H123</f>
        <v>0</v>
      </c>
      <c r="I14" s="522">
        <f>combined!I11+combined!I69+combined!I123</f>
        <v>101434.41931745899</v>
      </c>
      <c r="J14" s="501">
        <f>combined!J11+combined!J69+combined!J123</f>
        <v>206926.21540761634</v>
      </c>
      <c r="K14" s="501">
        <f>combined!K11+combined!K69+combined!K123</f>
        <v>801803.63324692205</v>
      </c>
      <c r="L14" s="501">
        <f>combined!L11+combined!L69+combined!L123</f>
        <v>1420393.3773136367</v>
      </c>
      <c r="M14" s="501">
        <f>combined!M11+combined!M69+combined!M123</f>
        <v>1448801.2448599096</v>
      </c>
      <c r="N14" s="501">
        <f>combined!N11+combined!N69+combined!N123</f>
        <v>1477777.2697571078</v>
      </c>
      <c r="O14" s="496"/>
    </row>
    <row r="15" spans="1:15" ht="11.25" hidden="1" customHeight="1">
      <c r="A15" s="590" t="s">
        <v>473</v>
      </c>
      <c r="B15" s="590"/>
      <c r="D15" s="501"/>
      <c r="E15" s="522"/>
      <c r="F15" s="501"/>
      <c r="G15" s="522"/>
      <c r="H15" s="501"/>
      <c r="I15" s="522"/>
      <c r="J15" s="501"/>
      <c r="K15" s="501"/>
      <c r="L15" s="501"/>
      <c r="M15" s="501"/>
      <c r="N15" s="501"/>
      <c r="O15" s="496"/>
    </row>
    <row r="16" spans="1:15" ht="11.25" hidden="1" customHeight="1">
      <c r="A16" s="590" t="s">
        <v>520</v>
      </c>
      <c r="B16" s="590"/>
      <c r="D16" s="501"/>
      <c r="E16" s="522"/>
      <c r="F16" s="501"/>
      <c r="G16" s="522"/>
      <c r="H16" s="501"/>
      <c r="I16" s="522"/>
      <c r="J16" s="501"/>
      <c r="K16" s="501"/>
      <c r="L16" s="501"/>
      <c r="M16" s="501"/>
      <c r="N16" s="501"/>
      <c r="O16" s="496"/>
    </row>
    <row r="17" spans="1:15" ht="11.25" hidden="1" customHeight="1">
      <c r="A17" s="429"/>
      <c r="B17" s="429" t="s">
        <v>247</v>
      </c>
      <c r="D17" s="501"/>
      <c r="E17" s="522"/>
      <c r="F17" s="501"/>
      <c r="G17" s="522"/>
      <c r="H17" s="501"/>
      <c r="I17" s="522"/>
      <c r="J17" s="501"/>
      <c r="K17" s="501"/>
      <c r="L17" s="501"/>
      <c r="M17" s="501"/>
      <c r="N17" s="501"/>
      <c r="O17" s="496"/>
    </row>
    <row r="18" spans="1:15" ht="11.25" hidden="1" customHeight="1">
      <c r="A18" s="590" t="s">
        <v>525</v>
      </c>
      <c r="B18" s="590"/>
      <c r="D18" s="501"/>
      <c r="E18" s="522"/>
      <c r="F18" s="501"/>
      <c r="G18" s="522"/>
      <c r="H18" s="501"/>
      <c r="I18" s="522"/>
      <c r="J18" s="501"/>
      <c r="K18" s="501"/>
      <c r="L18" s="501"/>
      <c r="M18" s="501"/>
      <c r="N18" s="501"/>
      <c r="O18" s="496"/>
    </row>
    <row r="19" spans="1:15" ht="11.25" hidden="1" customHeight="1">
      <c r="A19" s="429"/>
      <c r="B19" s="429" t="s">
        <v>524</v>
      </c>
      <c r="D19" s="501"/>
      <c r="E19" s="522"/>
      <c r="F19" s="501"/>
      <c r="G19" s="522"/>
      <c r="H19" s="501"/>
      <c r="I19" s="522"/>
      <c r="J19" s="501"/>
      <c r="K19" s="501"/>
      <c r="L19" s="501"/>
      <c r="M19" s="501"/>
      <c r="N19" s="501"/>
      <c r="O19" s="496"/>
    </row>
    <row r="20" spans="1:15" ht="11.25" customHeight="1">
      <c r="A20" s="590" t="s">
        <v>286</v>
      </c>
      <c r="B20" s="590"/>
      <c r="D20" s="501">
        <f>combined!D12+combined!D70+combined!D126</f>
        <v>0</v>
      </c>
      <c r="E20" s="522">
        <f>combined!E12+combined!E70+combined!E126</f>
        <v>0</v>
      </c>
      <c r="F20" s="501">
        <f>combined!F12+combined!F70+combined!F126</f>
        <v>0</v>
      </c>
      <c r="G20" s="522">
        <f>combined!G12+combined!G70+combined!G126</f>
        <v>163308.12</v>
      </c>
      <c r="H20" s="501">
        <f>combined!H12+combined!H70+combined!H126</f>
        <v>166574.2824</v>
      </c>
      <c r="I20" s="522">
        <f>combined!I12+combined!I70+combined!I126</f>
        <v>339811.536096</v>
      </c>
      <c r="J20" s="501">
        <f>combined!J12+combined!J70+combined!J126</f>
        <v>346607.76681792003</v>
      </c>
      <c r="K20" s="501">
        <f>combined!K12+combined!K70+combined!K126</f>
        <v>353539.92215427844</v>
      </c>
      <c r="L20" s="501">
        <f>combined!L12+combined!L70+combined!L126</f>
        <v>360610.72059736395</v>
      </c>
      <c r="M20" s="501">
        <f>combined!M12+combined!M70+combined!M126</f>
        <v>367822.93500931124</v>
      </c>
      <c r="N20" s="501">
        <f>combined!N12+combined!N70+combined!N126</f>
        <v>375179.39370949747</v>
      </c>
      <c r="O20" s="497"/>
    </row>
    <row r="21" spans="1:15" ht="11.25" customHeight="1">
      <c r="A21" s="625" t="s">
        <v>523</v>
      </c>
      <c r="B21" s="625"/>
      <c r="D21" s="502">
        <f t="shared" ref="D21:N21" si="1">SUM(D5:D20)</f>
        <v>0</v>
      </c>
      <c r="E21" s="523">
        <f t="shared" si="1"/>
        <v>0</v>
      </c>
      <c r="F21" s="502">
        <f t="shared" si="1"/>
        <v>0</v>
      </c>
      <c r="G21" s="523">
        <f t="shared" si="1"/>
        <v>37185920.572635062</v>
      </c>
      <c r="H21" s="502">
        <f t="shared" si="1"/>
        <v>57392219.572231412</v>
      </c>
      <c r="I21" s="523">
        <f t="shared" si="1"/>
        <v>104603949.04414392</v>
      </c>
      <c r="J21" s="502">
        <f t="shared" si="1"/>
        <v>115304339.28750297</v>
      </c>
      <c r="K21" s="502">
        <f t="shared" si="1"/>
        <v>84562923.555228606</v>
      </c>
      <c r="L21" s="502">
        <f t="shared" si="1"/>
        <v>96611136.748663291</v>
      </c>
      <c r="M21" s="502">
        <f t="shared" si="1"/>
        <v>105270424.17575961</v>
      </c>
      <c r="N21" s="502">
        <f t="shared" si="1"/>
        <v>107375832.65927482</v>
      </c>
      <c r="O21" s="498"/>
    </row>
    <row r="22" spans="1:15" ht="11.25" customHeight="1">
      <c r="A22" s="605" t="s">
        <v>522</v>
      </c>
      <c r="B22" s="605"/>
      <c r="D22" s="445"/>
      <c r="E22" s="548"/>
      <c r="F22" s="467"/>
      <c r="G22" s="524"/>
      <c r="H22" s="467"/>
      <c r="I22" s="524"/>
      <c r="J22" s="467"/>
      <c r="K22" s="467"/>
      <c r="L22" s="467"/>
      <c r="M22" s="499"/>
      <c r="N22" s="505">
        <f>(combined!N35+combined!N93+combined!N149)</f>
        <v>1382457823.4771643</v>
      </c>
      <c r="O22" s="499"/>
    </row>
    <row r="23" spans="1:15" ht="11.25" customHeight="1">
      <c r="A23" s="491"/>
      <c r="B23" s="491" t="s">
        <v>521</v>
      </c>
      <c r="D23" s="517">
        <f t="shared" ref="D23:N23" si="2">SUM(D21:D22)</f>
        <v>0</v>
      </c>
      <c r="E23" s="525">
        <f t="shared" si="2"/>
        <v>0</v>
      </c>
      <c r="F23" s="517">
        <f t="shared" si="2"/>
        <v>0</v>
      </c>
      <c r="G23" s="525">
        <f t="shared" si="2"/>
        <v>37185920.572635062</v>
      </c>
      <c r="H23" s="517">
        <f t="shared" si="2"/>
        <v>57392219.572231412</v>
      </c>
      <c r="I23" s="525">
        <f t="shared" si="2"/>
        <v>104603949.04414392</v>
      </c>
      <c r="J23" s="517">
        <f t="shared" si="2"/>
        <v>115304339.28750297</v>
      </c>
      <c r="K23" s="517">
        <f t="shared" si="2"/>
        <v>84562923.555228606</v>
      </c>
      <c r="L23" s="517">
        <f t="shared" si="2"/>
        <v>96611136.748663291</v>
      </c>
      <c r="M23" s="517">
        <f t="shared" si="2"/>
        <v>105270424.17575961</v>
      </c>
      <c r="N23" s="517">
        <f t="shared" si="2"/>
        <v>1489833656.1364391</v>
      </c>
      <c r="O23" s="490"/>
    </row>
    <row r="24" spans="1:15" s="485" customFormat="1" ht="11.25" customHeight="1">
      <c r="A24" s="489"/>
      <c r="B24" s="488"/>
      <c r="D24" s="487"/>
      <c r="E24" s="549"/>
      <c r="G24" s="526"/>
      <c r="I24" s="526"/>
      <c r="M24" s="486"/>
      <c r="N24" s="486"/>
      <c r="O24" s="486"/>
    </row>
    <row r="25" spans="1:15" ht="11.25" customHeight="1">
      <c r="A25" s="456" t="s">
        <v>490</v>
      </c>
      <c r="B25" s="456"/>
      <c r="D25" s="484"/>
      <c r="E25" s="547"/>
      <c r="F25" s="453"/>
      <c r="G25" s="521"/>
      <c r="H25" s="453"/>
      <c r="I25" s="521"/>
      <c r="J25" s="453"/>
      <c r="K25" s="453"/>
      <c r="L25" s="453"/>
      <c r="M25" s="472"/>
      <c r="N25" s="472"/>
      <c r="O25" s="472"/>
    </row>
    <row r="26" spans="1:15" ht="11.25" customHeight="1">
      <c r="A26" s="614" t="s">
        <v>486</v>
      </c>
      <c r="B26" s="429" t="s">
        <v>482</v>
      </c>
      <c r="D26" s="501">
        <f>combined!D27+combined!D85+combined!D141</f>
        <v>0</v>
      </c>
      <c r="E26" s="522">
        <f>combined!E27+combined!E85+combined!E141</f>
        <v>-49837160.915195629</v>
      </c>
      <c r="F26" s="501">
        <f>combined!F27+combined!F85+combined!F141</f>
        <v>-50833904.133499548</v>
      </c>
      <c r="G26" s="522">
        <f>combined!G27+combined!G85+combined!G141</f>
        <v>-17191126.038880117</v>
      </c>
      <c r="H26" s="501">
        <f>combined!H27+combined!H85+combined!H141</f>
        <v>-17534948.559657719</v>
      </c>
      <c r="I26" s="522">
        <f>combined!I27+combined!I85+combined!I141</f>
        <v>-18025138.628444053</v>
      </c>
      <c r="J26" s="501">
        <f>combined!J27+combined!J85+combined!J141</f>
        <v>-18385641.401012935</v>
      </c>
      <c r="K26" s="501">
        <f>combined!K27+combined!K85+combined!K141</f>
        <v>0</v>
      </c>
      <c r="L26" s="501">
        <f>combined!L27+combined!L85+combined!L141</f>
        <v>0</v>
      </c>
      <c r="M26" s="501">
        <f>combined!M27+combined!M85+combined!M141</f>
        <v>0</v>
      </c>
      <c r="N26" s="501">
        <v>0</v>
      </c>
      <c r="O26" s="434"/>
    </row>
    <row r="27" spans="1:15" ht="11.25" customHeight="1">
      <c r="A27" s="615"/>
      <c r="B27" s="429" t="s">
        <v>481</v>
      </c>
      <c r="D27" s="501">
        <f>combined!D28+combined!D86+combined!D142</f>
        <v>0</v>
      </c>
      <c r="E27" s="522">
        <f>combined!E28+combined!E86+combined!E142</f>
        <v>-11471788.727504998</v>
      </c>
      <c r="F27" s="501">
        <f>combined!F28+combined!F86+combined!F142</f>
        <v>-11701224.502055101</v>
      </c>
      <c r="G27" s="522">
        <f>combined!G28+combined!G86+combined!G142</f>
        <v>-26552721.592605848</v>
      </c>
      <c r="H27" s="501">
        <f>combined!H28+combined!H86+combined!H142</f>
        <v>-27083776.024457965</v>
      </c>
      <c r="I27" s="522">
        <f>combined!I28+combined!I86+combined!I142</f>
        <v>0</v>
      </c>
      <c r="J27" s="501">
        <f>combined!J28+combined!J86+combined!J142</f>
        <v>0</v>
      </c>
      <c r="K27" s="501">
        <f>combined!K28+combined!K86+combined!K142</f>
        <v>0</v>
      </c>
      <c r="L27" s="501">
        <f>combined!L28+combined!L86+combined!L142</f>
        <v>0</v>
      </c>
      <c r="M27" s="501">
        <f>combined!M28+combined!M86+combined!M142</f>
        <v>0</v>
      </c>
      <c r="N27" s="501">
        <v>0</v>
      </c>
      <c r="O27" s="434"/>
    </row>
    <row r="28" spans="1:15" ht="11.25" customHeight="1">
      <c r="A28" s="436" t="s">
        <v>484</v>
      </c>
      <c r="B28" s="429" t="s">
        <v>482</v>
      </c>
      <c r="D28" s="501"/>
      <c r="E28" s="522"/>
      <c r="F28" s="501"/>
      <c r="G28" s="522"/>
      <c r="H28" s="501"/>
      <c r="I28" s="522"/>
      <c r="J28" s="501"/>
      <c r="K28" s="501"/>
      <c r="L28" s="501"/>
      <c r="M28" s="501"/>
      <c r="N28" s="501">
        <v>0</v>
      </c>
      <c r="O28" s="434"/>
    </row>
    <row r="29" spans="1:15" ht="11.25" customHeight="1">
      <c r="A29" s="614" t="s">
        <v>483</v>
      </c>
      <c r="B29" s="429" t="s">
        <v>482</v>
      </c>
      <c r="D29" s="501">
        <f>combined!D29+combined!D87+combined!D143</f>
        <v>0</v>
      </c>
      <c r="E29" s="522">
        <f>combined!E29+combined!E87+combined!E143</f>
        <v>-7611305.2884843731</v>
      </c>
      <c r="F29" s="501">
        <f>combined!F29+combined!F87+combined!F143</f>
        <v>-7763531.3942540614</v>
      </c>
      <c r="G29" s="522">
        <f>combined!G29+combined!G87+combined!G143</f>
        <v>-1870894.5878333244</v>
      </c>
      <c r="H29" s="501">
        <f>combined!H29+combined!H87+combined!H143</f>
        <v>-1908312.4795899906</v>
      </c>
      <c r="I29" s="522">
        <f>combined!I29+combined!I87+combined!I143</f>
        <v>-6878087.4113249732</v>
      </c>
      <c r="J29" s="501">
        <f>combined!J29+combined!J87+combined!J143</f>
        <v>-7015649.1595514724</v>
      </c>
      <c r="K29" s="501">
        <f>combined!K29+combined!K87+combined!K143</f>
        <v>0</v>
      </c>
      <c r="L29" s="501">
        <f>combined!L29+combined!L87+combined!L143</f>
        <v>0</v>
      </c>
      <c r="M29" s="501">
        <f>combined!M29+combined!M87+combined!M143</f>
        <v>0</v>
      </c>
      <c r="N29" s="501">
        <v>0</v>
      </c>
      <c r="O29" s="434"/>
    </row>
    <row r="30" spans="1:15" ht="11.25" customHeight="1">
      <c r="A30" s="615"/>
      <c r="B30" s="429" t="s">
        <v>481</v>
      </c>
      <c r="D30" s="501"/>
      <c r="E30" s="522"/>
      <c r="F30" s="501"/>
      <c r="G30" s="522"/>
      <c r="H30" s="501"/>
      <c r="I30" s="522"/>
      <c r="J30" s="501"/>
      <c r="K30" s="501"/>
      <c r="L30" s="501"/>
      <c r="M30" s="501"/>
      <c r="N30" s="501">
        <v>0</v>
      </c>
      <c r="O30" s="434"/>
    </row>
    <row r="31" spans="1:15" ht="11.25" customHeight="1">
      <c r="A31" s="590" t="s">
        <v>479</v>
      </c>
      <c r="B31" s="590"/>
      <c r="D31" s="501">
        <f>combined!D30+combined!D88+combined!D144</f>
        <v>0</v>
      </c>
      <c r="E31" s="522">
        <f>combined!E30+combined!E88+combined!E144</f>
        <v>-67466205.423097819</v>
      </c>
      <c r="F31" s="501">
        <f>combined!F30+combined!F88+combined!F144</f>
        <v>-49824042.565308727</v>
      </c>
      <c r="G31" s="522">
        <f>combined!G30+combined!G88+combined!G144</f>
        <v>-32006317.697024707</v>
      </c>
      <c r="H31" s="501">
        <f>combined!H30+combined!H88+combined!H144</f>
        <v>-32646444.050965201</v>
      </c>
      <c r="I31" s="522">
        <f>combined!I30+combined!I88+combined!I144</f>
        <v>-56755454.33405672</v>
      </c>
      <c r="J31" s="501">
        <f>combined!J30+combined!J88+combined!J144</f>
        <v>-57890563.420737848</v>
      </c>
      <c r="K31" s="501">
        <f>combined!K30+combined!K88+combined!K144</f>
        <v>0</v>
      </c>
      <c r="L31" s="501">
        <f>combined!L30+combined!L88+combined!L144</f>
        <v>0</v>
      </c>
      <c r="M31" s="501">
        <f>combined!M30+combined!M88+combined!M144</f>
        <v>0</v>
      </c>
      <c r="N31" s="501">
        <v>0</v>
      </c>
      <c r="O31" s="434"/>
    </row>
    <row r="32" spans="1:15" ht="11.25" customHeight="1">
      <c r="A32" s="590" t="s">
        <v>478</v>
      </c>
      <c r="B32" s="590"/>
      <c r="D32" s="501">
        <f>combined!D31+combined!D89+combined!D145</f>
        <v>0</v>
      </c>
      <c r="E32" s="522">
        <f>combined!E31+combined!E89+combined!E145</f>
        <v>-33835582.182284996</v>
      </c>
      <c r="F32" s="501">
        <f>combined!F31+combined!F89+combined!F145</f>
        <v>-34512293.8259307</v>
      </c>
      <c r="G32" s="522">
        <f>combined!G31+combined!G89+combined!G145</f>
        <v>-20199320.592160549</v>
      </c>
      <c r="H32" s="501">
        <f>combined!H31+combined!H89+combined!H145</f>
        <v>-20603307.004003759</v>
      </c>
      <c r="I32" s="522">
        <f>combined!I31+combined!I89+combined!I145</f>
        <v>-5185348.0121170338</v>
      </c>
      <c r="J32" s="501">
        <f>combined!J31+combined!J89+combined!J145</f>
        <v>-5289054.9723593751</v>
      </c>
      <c r="K32" s="501">
        <f>combined!K31+combined!K89+combined!K145</f>
        <v>0</v>
      </c>
      <c r="L32" s="501">
        <f>combined!L31+combined!L89+combined!L145</f>
        <v>0</v>
      </c>
      <c r="M32" s="501">
        <f>combined!M31+combined!M89+combined!M145</f>
        <v>0</v>
      </c>
      <c r="N32" s="501">
        <v>0</v>
      </c>
      <c r="O32" s="434"/>
    </row>
    <row r="33" spans="1:15" ht="11.25" customHeight="1">
      <c r="A33" s="590" t="s">
        <v>145</v>
      </c>
      <c r="B33" s="590"/>
      <c r="D33" s="501">
        <f>combined!D32+combined!D90+combined!D146</f>
        <v>0</v>
      </c>
      <c r="E33" s="522">
        <f>combined!E32+combined!E90+combined!E146</f>
        <v>-18081911.6229375</v>
      </c>
      <c r="F33" s="501">
        <f>combined!F32+combined!F90+combined!F146</f>
        <v>-18443549.855396248</v>
      </c>
      <c r="G33" s="522">
        <f>combined!G32+combined!G90+combined!G146</f>
        <v>-36054976.762160823</v>
      </c>
      <c r="H33" s="501">
        <f>combined!H32+combined!H90+combined!H146</f>
        <v>-36776076.297404036</v>
      </c>
      <c r="I33" s="522">
        <f>combined!I32+combined!I90+combined!I146</f>
        <v>0</v>
      </c>
      <c r="J33" s="501">
        <f>combined!J32+combined!J90+combined!J146</f>
        <v>0</v>
      </c>
      <c r="K33" s="501">
        <f>combined!K32+combined!K90+combined!K146</f>
        <v>0</v>
      </c>
      <c r="L33" s="501">
        <f>combined!L32+combined!L90+combined!L146</f>
        <v>0</v>
      </c>
      <c r="M33" s="501">
        <f>combined!M32+combined!M90+combined!M146</f>
        <v>0</v>
      </c>
      <c r="N33" s="501">
        <v>0</v>
      </c>
      <c r="O33" s="434"/>
    </row>
    <row r="34" spans="1:15" ht="11.25" customHeight="1">
      <c r="A34" s="590" t="s">
        <v>474</v>
      </c>
      <c r="B34" s="590"/>
      <c r="D34" s="501">
        <f>combined!D33+combined!D91+combined!D147</f>
        <v>0</v>
      </c>
      <c r="E34" s="522">
        <f>combined!E33+combined!E91+combined!E147</f>
        <v>0</v>
      </c>
      <c r="F34" s="501">
        <f>combined!F33+combined!F91+combined!F147</f>
        <v>0</v>
      </c>
      <c r="G34" s="522">
        <f>combined!G33+combined!G91+combined!G147</f>
        <v>-2023679.4594178495</v>
      </c>
      <c r="H34" s="501">
        <f>combined!H33+combined!H91+combined!H147</f>
        <v>-2064153.0486062064</v>
      </c>
      <c r="I34" s="522">
        <f>combined!I33+combined!I91+combined!I147</f>
        <v>-3521219.4684899999</v>
      </c>
      <c r="J34" s="501">
        <f>combined!J33+combined!J91+combined!J147</f>
        <v>-3591643.8578597996</v>
      </c>
      <c r="K34" s="501">
        <f>combined!K33+combined!K91+combined!K147</f>
        <v>0</v>
      </c>
      <c r="L34" s="501">
        <f>combined!L33+combined!L91+combined!L147</f>
        <v>0</v>
      </c>
      <c r="M34" s="501">
        <f>combined!M33+combined!M91+combined!M147</f>
        <v>0</v>
      </c>
      <c r="N34" s="501">
        <v>0</v>
      </c>
      <c r="O34" s="434"/>
    </row>
    <row r="35" spans="1:15" ht="11.25" customHeight="1">
      <c r="A35" s="590" t="s">
        <v>473</v>
      </c>
      <c r="B35" s="590"/>
      <c r="D35" s="501"/>
      <c r="E35" s="522"/>
      <c r="F35" s="501"/>
      <c r="G35" s="522"/>
      <c r="H35" s="501"/>
      <c r="I35" s="522"/>
      <c r="J35" s="501"/>
      <c r="K35" s="501"/>
      <c r="L35" s="501"/>
      <c r="M35" s="501"/>
      <c r="N35" s="501">
        <v>0</v>
      </c>
      <c r="O35" s="434"/>
    </row>
    <row r="36" spans="1:15" ht="11.25" customHeight="1">
      <c r="A36" s="590" t="s">
        <v>520</v>
      </c>
      <c r="B36" s="590"/>
      <c r="D36" s="501"/>
      <c r="E36" s="522"/>
      <c r="F36" s="501"/>
      <c r="G36" s="522"/>
      <c r="H36" s="501"/>
      <c r="I36" s="522"/>
      <c r="J36" s="501"/>
      <c r="K36" s="501"/>
      <c r="L36" s="501"/>
      <c r="M36" s="501"/>
      <c r="N36" s="501">
        <v>0</v>
      </c>
      <c r="O36" s="434"/>
    </row>
    <row r="37" spans="1:15" ht="11.25" customHeight="1">
      <c r="A37" s="590" t="s">
        <v>286</v>
      </c>
      <c r="B37" s="590"/>
      <c r="D37" s="501">
        <f>combined!D34+combined!D92+combined!D148</f>
        <v>0</v>
      </c>
      <c r="E37" s="522">
        <f>combined!E34+combined!E92+combined!E148</f>
        <v>-13124705.624999998</v>
      </c>
      <c r="F37" s="501">
        <f>combined!F34+combined!F92+combined!F148</f>
        <v>-13387199.737499999</v>
      </c>
      <c r="G37" s="522">
        <f>combined!G34+combined!G92+combined!G148</f>
        <v>-5737031.2695212997</v>
      </c>
      <c r="H37" s="501">
        <f>combined!H34+combined!H92+combined!H148</f>
        <v>-5851771.8949117251</v>
      </c>
      <c r="I37" s="522">
        <f>combined!I34+combined!I92+combined!I148</f>
        <v>0</v>
      </c>
      <c r="J37" s="501">
        <f>combined!J34+combined!J92+combined!J148</f>
        <v>0</v>
      </c>
      <c r="K37" s="501">
        <f>combined!K34+combined!K92+combined!K148</f>
        <v>0</v>
      </c>
      <c r="L37" s="501">
        <f>combined!L34+combined!L92+combined!L148</f>
        <v>0</v>
      </c>
      <c r="M37" s="501">
        <f>combined!M34+combined!M92+combined!M148</f>
        <v>0</v>
      </c>
      <c r="N37" s="501">
        <f>combined!N34+combined!N92+combined!N148</f>
        <v>0</v>
      </c>
      <c r="O37" s="434"/>
    </row>
    <row r="38" spans="1:15" ht="11.25" customHeight="1">
      <c r="A38" s="429"/>
      <c r="B38" s="429" t="s">
        <v>519</v>
      </c>
      <c r="D38" s="422"/>
      <c r="E38" s="522"/>
      <c r="F38" s="501"/>
      <c r="G38" s="522"/>
      <c r="H38" s="501"/>
      <c r="I38" s="522"/>
      <c r="J38" s="501"/>
      <c r="K38" s="501"/>
      <c r="L38" s="501"/>
      <c r="M38" s="501"/>
      <c r="N38" s="501">
        <v>0</v>
      </c>
      <c r="O38" s="434"/>
    </row>
    <row r="39" spans="1:15" ht="11.25" customHeight="1">
      <c r="A39" s="590" t="s">
        <v>518</v>
      </c>
      <c r="B39" s="590"/>
      <c r="D39" s="501">
        <f>combined!D37+combined!D95+combined!D151</f>
        <v>0</v>
      </c>
      <c r="E39" s="522">
        <f>combined!E37+combined!E95+combined!E151</f>
        <v>-35734308.799999997</v>
      </c>
      <c r="F39" s="501">
        <f>combined!F37+combined!F95+combined!F151</f>
        <v>-35734308.799999997</v>
      </c>
      <c r="G39" s="522">
        <f>combined!G37+combined!G95+combined!G151</f>
        <v>-1018964.3999999999</v>
      </c>
      <c r="H39" s="501">
        <f>combined!H37+combined!H95+combined!H151</f>
        <v>-1018964.3999999999</v>
      </c>
      <c r="I39" s="522">
        <f>combined!I37+combined!I95+combined!I151</f>
        <v>-339654.8</v>
      </c>
      <c r="J39" s="501">
        <f>combined!J37+combined!J95+combined!J151</f>
        <v>-339654.8</v>
      </c>
      <c r="K39" s="501">
        <f>combined!K37+combined!K95+combined!K151</f>
        <v>0</v>
      </c>
      <c r="L39" s="501">
        <f>combined!L37+combined!L95+combined!L151</f>
        <v>0</v>
      </c>
      <c r="M39" s="501">
        <f>combined!M37+combined!M95+combined!M151</f>
        <v>0</v>
      </c>
      <c r="N39" s="501">
        <f>combined!N37+combined!N95+combined!N151</f>
        <v>0</v>
      </c>
      <c r="O39" s="434"/>
    </row>
    <row r="40" spans="1:15" ht="11.25" customHeight="1">
      <c r="A40" s="483"/>
      <c r="B40" s="483" t="s">
        <v>517</v>
      </c>
      <c r="D40" s="503"/>
      <c r="E40" s="527"/>
      <c r="F40" s="503"/>
      <c r="G40" s="527"/>
      <c r="H40" s="503"/>
      <c r="I40" s="527"/>
      <c r="J40" s="503"/>
      <c r="K40" s="503"/>
      <c r="L40" s="503"/>
      <c r="M40" s="503"/>
      <c r="N40" s="501">
        <v>0</v>
      </c>
      <c r="O40" s="482"/>
    </row>
    <row r="41" spans="1:15" ht="11.25" customHeight="1">
      <c r="A41" s="625" t="s">
        <v>462</v>
      </c>
      <c r="B41" s="625"/>
      <c r="D41" s="502">
        <f t="shared" ref="D41:N41" si="3">SUM(D25:D40)</f>
        <v>0</v>
      </c>
      <c r="E41" s="523">
        <f t="shared" si="3"/>
        <v>-237162968.58450532</v>
      </c>
      <c r="F41" s="502">
        <f t="shared" si="3"/>
        <v>-222200054.8139444</v>
      </c>
      <c r="G41" s="523">
        <f t="shared" si="3"/>
        <v>-142655032.39960453</v>
      </c>
      <c r="H41" s="502">
        <f t="shared" si="3"/>
        <v>-145487753.75959665</v>
      </c>
      <c r="I41" s="523">
        <f t="shared" si="3"/>
        <v>-90704902.654432774</v>
      </c>
      <c r="J41" s="502">
        <f t="shared" si="3"/>
        <v>-92512207.611521438</v>
      </c>
      <c r="K41" s="502">
        <f t="shared" si="3"/>
        <v>0</v>
      </c>
      <c r="L41" s="502">
        <f t="shared" si="3"/>
        <v>0</v>
      </c>
      <c r="M41" s="502">
        <f t="shared" si="3"/>
        <v>0</v>
      </c>
      <c r="N41" s="502">
        <f t="shared" si="3"/>
        <v>0</v>
      </c>
      <c r="O41" s="482"/>
    </row>
    <row r="42" spans="1:15" s="477" customFormat="1" ht="11.25" customHeight="1">
      <c r="A42" s="481"/>
      <c r="B42" s="481"/>
      <c r="D42" s="480"/>
      <c r="E42" s="550"/>
      <c r="F42" s="478"/>
      <c r="G42" s="528"/>
      <c r="H42" s="478"/>
      <c r="I42" s="528"/>
      <c r="J42" s="478"/>
      <c r="K42" s="478"/>
      <c r="L42" s="478"/>
      <c r="M42" s="479"/>
      <c r="N42" s="479"/>
      <c r="O42" s="479"/>
    </row>
    <row r="43" spans="1:15" ht="11.25" customHeight="1">
      <c r="A43" s="432" t="s">
        <v>516</v>
      </c>
      <c r="B43" s="432"/>
      <c r="D43" s="476"/>
      <c r="E43" s="551"/>
      <c r="F43" s="475"/>
      <c r="G43" s="529"/>
      <c r="H43" s="475"/>
      <c r="I43" s="529"/>
      <c r="J43" s="475"/>
      <c r="K43" s="475"/>
      <c r="L43" s="475"/>
      <c r="M43" s="472"/>
      <c r="N43" s="472"/>
      <c r="O43" s="472"/>
    </row>
    <row r="44" spans="1:15" ht="11.25" customHeight="1">
      <c r="A44" s="590" t="s">
        <v>515</v>
      </c>
      <c r="B44" s="590"/>
      <c r="D44" s="506">
        <f t="shared" ref="D44:N44" si="4">D21</f>
        <v>0</v>
      </c>
      <c r="E44" s="530">
        <f t="shared" si="4"/>
        <v>0</v>
      </c>
      <c r="F44" s="506">
        <f t="shared" si="4"/>
        <v>0</v>
      </c>
      <c r="G44" s="530">
        <f t="shared" si="4"/>
        <v>37185920.572635062</v>
      </c>
      <c r="H44" s="506">
        <f t="shared" si="4"/>
        <v>57392219.572231412</v>
      </c>
      <c r="I44" s="530">
        <f t="shared" si="4"/>
        <v>104603949.04414392</v>
      </c>
      <c r="J44" s="506">
        <f t="shared" si="4"/>
        <v>115304339.28750297</v>
      </c>
      <c r="K44" s="506">
        <f t="shared" si="4"/>
        <v>84562923.555228606</v>
      </c>
      <c r="L44" s="506">
        <f t="shared" si="4"/>
        <v>96611136.748663291</v>
      </c>
      <c r="M44" s="508">
        <f t="shared" si="4"/>
        <v>105270424.17575961</v>
      </c>
      <c r="N44" s="508">
        <f t="shared" si="4"/>
        <v>107375832.65927482</v>
      </c>
      <c r="O44" s="507"/>
    </row>
    <row r="45" spans="1:15" ht="11.25" customHeight="1">
      <c r="A45" s="429"/>
      <c r="B45" s="429" t="s">
        <v>514</v>
      </c>
      <c r="D45" s="501">
        <f t="shared" ref="D45:N45" si="5">D22</f>
        <v>0</v>
      </c>
      <c r="E45" s="522">
        <f t="shared" si="5"/>
        <v>0</v>
      </c>
      <c r="F45" s="501">
        <f t="shared" si="5"/>
        <v>0</v>
      </c>
      <c r="G45" s="522">
        <f t="shared" si="5"/>
        <v>0</v>
      </c>
      <c r="H45" s="501">
        <f t="shared" si="5"/>
        <v>0</v>
      </c>
      <c r="I45" s="522">
        <f t="shared" si="5"/>
        <v>0</v>
      </c>
      <c r="J45" s="501">
        <f t="shared" si="5"/>
        <v>0</v>
      </c>
      <c r="K45" s="501">
        <f t="shared" si="5"/>
        <v>0</v>
      </c>
      <c r="L45" s="501">
        <f t="shared" si="5"/>
        <v>0</v>
      </c>
      <c r="M45" s="509">
        <f t="shared" si="5"/>
        <v>0</v>
      </c>
      <c r="N45" s="509">
        <f t="shared" si="5"/>
        <v>1382457823.4771643</v>
      </c>
      <c r="O45" s="482"/>
    </row>
    <row r="46" spans="1:15" ht="11.25" customHeight="1">
      <c r="A46" s="590" t="s">
        <v>513</v>
      </c>
      <c r="B46" s="590"/>
      <c r="D46" s="474"/>
      <c r="E46" s="552"/>
      <c r="F46" s="446"/>
      <c r="G46" s="531"/>
      <c r="H46" s="446"/>
      <c r="I46" s="531"/>
      <c r="J46" s="446"/>
      <c r="K46" s="446"/>
      <c r="L46" s="446"/>
      <c r="M46" s="434"/>
      <c r="N46" s="434"/>
      <c r="O46" s="434"/>
    </row>
    <row r="47" spans="1:15" ht="11.25" customHeight="1">
      <c r="A47" s="590" t="s">
        <v>462</v>
      </c>
      <c r="B47" s="590"/>
      <c r="D47" s="506">
        <f t="shared" ref="D47:N47" si="6">D41</f>
        <v>0</v>
      </c>
      <c r="E47" s="530">
        <f t="shared" si="6"/>
        <v>-237162968.58450532</v>
      </c>
      <c r="F47" s="506">
        <f t="shared" si="6"/>
        <v>-222200054.8139444</v>
      </c>
      <c r="G47" s="530">
        <f t="shared" si="6"/>
        <v>-142655032.39960453</v>
      </c>
      <c r="H47" s="506">
        <f t="shared" si="6"/>
        <v>-145487753.75959665</v>
      </c>
      <c r="I47" s="530">
        <f t="shared" si="6"/>
        <v>-90704902.654432774</v>
      </c>
      <c r="J47" s="506">
        <f t="shared" si="6"/>
        <v>-92512207.611521438</v>
      </c>
      <c r="K47" s="506">
        <f t="shared" si="6"/>
        <v>0</v>
      </c>
      <c r="L47" s="506">
        <f t="shared" si="6"/>
        <v>0</v>
      </c>
      <c r="M47" s="508">
        <f t="shared" si="6"/>
        <v>0</v>
      </c>
      <c r="N47" s="508">
        <f t="shared" si="6"/>
        <v>0</v>
      </c>
      <c r="O47" s="434"/>
    </row>
    <row r="48" spans="1:15" ht="11.25" customHeight="1">
      <c r="A48" s="471" t="s">
        <v>512</v>
      </c>
      <c r="B48" s="426"/>
      <c r="D48" s="502">
        <f t="shared" ref="D48:N48" si="7">SUM(D44:D47)</f>
        <v>0</v>
      </c>
      <c r="E48" s="523">
        <f t="shared" si="7"/>
        <v>-237162968.58450532</v>
      </c>
      <c r="F48" s="502">
        <f t="shared" si="7"/>
        <v>-222200054.8139444</v>
      </c>
      <c r="G48" s="523">
        <f t="shared" si="7"/>
        <v>-105469111.82696947</v>
      </c>
      <c r="H48" s="502">
        <f t="shared" si="7"/>
        <v>-88095534.187365234</v>
      </c>
      <c r="I48" s="523">
        <f t="shared" si="7"/>
        <v>13899046.389711142</v>
      </c>
      <c r="J48" s="502">
        <f t="shared" si="7"/>
        <v>22792131.675981537</v>
      </c>
      <c r="K48" s="502">
        <f t="shared" si="7"/>
        <v>84562923.555228606</v>
      </c>
      <c r="L48" s="502">
        <f t="shared" si="7"/>
        <v>96611136.748663291</v>
      </c>
      <c r="M48" s="502">
        <f t="shared" si="7"/>
        <v>105270424.17575961</v>
      </c>
      <c r="N48" s="502">
        <f t="shared" si="7"/>
        <v>1489833656.1364391</v>
      </c>
      <c r="O48" s="498"/>
    </row>
    <row r="49" spans="1:15" ht="11.25" customHeight="1">
      <c r="A49" s="471" t="s">
        <v>511</v>
      </c>
      <c r="B49" s="426"/>
      <c r="D49" s="510">
        <f>combined!D57+combined!D115+combined!D171</f>
        <v>0</v>
      </c>
      <c r="E49" s="532">
        <f>combined!E57+combined!E115+combined!E171</f>
        <v>-215541307.90527359</v>
      </c>
      <c r="F49" s="510">
        <f>combined!F57+combined!F115+combined!F171</f>
        <v>195536048.23627108</v>
      </c>
      <c r="G49" s="532">
        <f>combined!G57+combined!G115+combined!G171</f>
        <v>-40596119.234911695</v>
      </c>
      <c r="H49" s="510">
        <f>combined!H57+combined!H115+combined!H171</f>
        <v>158784953.82227844</v>
      </c>
      <c r="I49" s="532">
        <f>combined!I57+combined!I115+combined!I171</f>
        <v>15450396.356155619</v>
      </c>
      <c r="J49" s="510">
        <f>combined!J57+combined!J115+combined!J171</f>
        <v>154498175.76908481</v>
      </c>
      <c r="K49" s="510">
        <f>combined!K57+combined!K115+combined!K171</f>
        <v>119342572.585067</v>
      </c>
      <c r="L49" s="510">
        <f>combined!L57+combined!L115+combined!L171</f>
        <v>38223250.692960374</v>
      </c>
      <c r="M49" s="510">
        <f>combined!M57+combined!M115+combined!M171</f>
        <v>46856067.899121791</v>
      </c>
      <c r="N49" s="510">
        <f>combined!N57+combined!N115+combined!N171</f>
        <v>730457756.38042939</v>
      </c>
      <c r="O49" s="499"/>
    </row>
    <row r="50" spans="1:15" ht="11.25" customHeight="1">
      <c r="A50" s="471" t="s">
        <v>510</v>
      </c>
      <c r="B50" s="426"/>
      <c r="D50" s="510">
        <f>SUM(combined!D48,combined!D54,combined!D106,combined!D112,combined!D162,combined!D168)</f>
        <v>0</v>
      </c>
      <c r="E50" s="532">
        <f>SUM(combined!E48,combined!E54,combined!E106,combined!E112,combined!E162,combined!E168)</f>
        <v>-1380106.0008020245</v>
      </c>
      <c r="F50" s="510">
        <f>SUM(combined!F48,combined!F54,combined!F106,combined!F112,combined!F162,combined!F168)</f>
        <v>-26664006.577673327</v>
      </c>
      <c r="G50" s="532">
        <f>SUM(combined!G48,combined!G54,combined!G106,combined!G112,combined!G162,combined!G168)</f>
        <v>-26626753.127911933</v>
      </c>
      <c r="H50" s="510">
        <f>SUM(combined!H48,combined!H54,combined!H106,combined!H112,combined!H162,combined!H168)</f>
        <v>-43952696.935195893</v>
      </c>
      <c r="I50" s="532">
        <f>SUM(combined!I48,combined!I54,combined!I106,combined!I112,combined!I162,combined!I168)</f>
        <v>-42078627.949383333</v>
      </c>
      <c r="J50" s="510">
        <f>SUM(combined!J48,combined!J54,combined!J106,combined!J112,combined!J162,combined!J168)</f>
        <v>-53096153.194411978</v>
      </c>
      <c r="K50" s="510">
        <f>SUM(combined!K48,combined!K54,combined!K106,combined!K112,combined!K162,combined!K168)</f>
        <v>-57241045.728139624</v>
      </c>
      <c r="L50" s="510">
        <f>SUM(combined!L48,combined!L54,combined!L106,combined!L112,combined!L162,combined!L168)</f>
        <v>-57241045.728139624</v>
      </c>
      <c r="M50" s="510">
        <f>SUM(combined!M48,combined!M54,combined!M106,combined!M112,combined!M162,combined!M168)</f>
        <v>-57241045.728139624</v>
      </c>
      <c r="N50" s="510">
        <f>SUM(combined!N48,combined!N54,combined!N106,combined!N112,combined!N162,combined!N168)</f>
        <v>-57241045.728139624</v>
      </c>
      <c r="O50" s="499"/>
    </row>
    <row r="51" spans="1:15" ht="11.25" customHeight="1">
      <c r="A51" s="473" t="s">
        <v>509</v>
      </c>
      <c r="B51" s="473"/>
      <c r="D51" s="511">
        <f>NPV(discountrate,combined!D175:N175)</f>
        <v>224075809.49023834</v>
      </c>
      <c r="E51" s="549"/>
      <c r="F51" s="468"/>
      <c r="G51" s="526"/>
      <c r="I51" s="526"/>
      <c r="J51" s="468"/>
      <c r="K51" s="468"/>
      <c r="L51" s="468"/>
      <c r="M51" s="499"/>
      <c r="N51" s="499"/>
      <c r="O51" s="499"/>
    </row>
    <row r="52" spans="1:15" ht="11.25" customHeight="1">
      <c r="A52" s="471" t="s">
        <v>508</v>
      </c>
      <c r="B52" s="427"/>
      <c r="D52" s="513">
        <f>loantovalue</f>
        <v>0.65</v>
      </c>
      <c r="E52" s="548"/>
      <c r="F52" s="467"/>
      <c r="G52" s="524"/>
      <c r="H52" s="470"/>
      <c r="I52" s="524"/>
      <c r="J52" s="467"/>
      <c r="K52" s="467"/>
      <c r="L52" s="467"/>
      <c r="M52" s="469"/>
      <c r="N52" s="469"/>
      <c r="O52" s="469"/>
    </row>
    <row r="53" spans="1:15" ht="11.25" customHeight="1">
      <c r="A53" s="427" t="s">
        <v>507</v>
      </c>
      <c r="B53" s="427"/>
      <c r="D53" s="512">
        <f>combined!C175</f>
        <v>0.14458140804577679</v>
      </c>
      <c r="E53" s="548"/>
      <c r="F53" s="467"/>
      <c r="G53" s="533" t="s">
        <v>506</v>
      </c>
      <c r="H53" s="468"/>
      <c r="I53" s="541"/>
      <c r="J53" s="576">
        <f>6000000*17+SUM('acq-demo-repur'!U6:U8)</f>
        <v>126380975.21508375</v>
      </c>
      <c r="K53" s="467"/>
      <c r="L53" s="467"/>
      <c r="M53" s="499"/>
      <c r="N53" s="499"/>
      <c r="O53" s="499"/>
    </row>
    <row r="54" spans="1:15" ht="11.25" customHeight="1">
      <c r="A54" s="427" t="s">
        <v>505</v>
      </c>
      <c r="B54" s="427"/>
      <c r="D54" s="512">
        <f>combined!C176</f>
        <v>0.50186929863169527</v>
      </c>
      <c r="E54" s="548"/>
      <c r="F54" s="467"/>
      <c r="G54" s="534" t="s">
        <v>504</v>
      </c>
      <c r="H54" s="467"/>
      <c r="I54" s="542"/>
      <c r="J54" s="575">
        <f>SUM(combined!N35,combined!N93,combined!N149)</f>
        <v>1382457823.4771643</v>
      </c>
      <c r="K54" s="467"/>
      <c r="L54" s="467"/>
      <c r="M54" s="499"/>
      <c r="N54" s="499"/>
      <c r="O54" s="499"/>
    </row>
    <row r="55" spans="1:15" ht="11.25" customHeight="1">
      <c r="E55" s="543"/>
      <c r="I55" s="543"/>
      <c r="N55" s="466"/>
      <c r="O55" s="465"/>
    </row>
    <row r="56" spans="1:15" s="440" customFormat="1" ht="11.25" customHeight="1">
      <c r="A56" s="617" t="s">
        <v>503</v>
      </c>
      <c r="B56" s="617"/>
      <c r="C56" s="617"/>
      <c r="D56" s="617"/>
      <c r="E56" s="617"/>
      <c r="F56" s="617"/>
      <c r="G56" s="617"/>
      <c r="H56" s="617"/>
      <c r="I56" s="617"/>
      <c r="J56" s="617"/>
      <c r="K56" s="617"/>
      <c r="L56" s="617"/>
      <c r="M56" s="617"/>
      <c r="N56" s="617"/>
      <c r="O56" s="617"/>
    </row>
    <row r="57" spans="1:15" ht="11.25" customHeight="1">
      <c r="D57" s="462" t="s">
        <v>502</v>
      </c>
      <c r="E57" s="521"/>
      <c r="F57" s="460"/>
      <c r="G57" s="521"/>
      <c r="H57" s="460"/>
      <c r="I57" s="521"/>
      <c r="J57" s="460"/>
      <c r="K57" s="460"/>
      <c r="L57" s="460"/>
      <c r="M57" s="460"/>
      <c r="N57" s="460"/>
      <c r="O57" s="460"/>
    </row>
    <row r="58" spans="1:15" s="422" customFormat="1" ht="11.25" customHeight="1">
      <c r="A58" s="445"/>
      <c r="B58" s="445"/>
      <c r="C58" s="426" t="s">
        <v>501</v>
      </c>
      <c r="D58" s="464">
        <v>0</v>
      </c>
      <c r="E58" s="520">
        <v>1</v>
      </c>
      <c r="F58" s="463">
        <f t="shared" ref="F58:L58" si="8">E58+1</f>
        <v>2</v>
      </c>
      <c r="G58" s="520">
        <f t="shared" si="8"/>
        <v>3</v>
      </c>
      <c r="H58" s="463">
        <f t="shared" si="8"/>
        <v>4</v>
      </c>
      <c r="I58" s="520">
        <f t="shared" si="8"/>
        <v>5</v>
      </c>
      <c r="J58" s="463">
        <f t="shared" si="8"/>
        <v>6</v>
      </c>
      <c r="K58" s="463">
        <f t="shared" si="8"/>
        <v>7</v>
      </c>
      <c r="L58" s="504">
        <f t="shared" si="8"/>
        <v>8</v>
      </c>
      <c r="M58" s="504">
        <v>9</v>
      </c>
      <c r="N58" s="504">
        <v>10</v>
      </c>
      <c r="O58" s="463"/>
    </row>
    <row r="59" spans="1:15" ht="11.25" customHeight="1">
      <c r="A59" s="456" t="s">
        <v>500</v>
      </c>
      <c r="B59" s="456"/>
      <c r="C59" s="455"/>
      <c r="D59" s="462"/>
      <c r="E59" s="521"/>
      <c r="F59" s="460"/>
      <c r="G59" s="521"/>
      <c r="H59" s="460"/>
      <c r="I59" s="521"/>
      <c r="J59" s="460"/>
      <c r="K59" s="460"/>
      <c r="L59" s="461"/>
      <c r="M59" s="461"/>
      <c r="N59" s="461"/>
      <c r="O59" s="460"/>
    </row>
    <row r="60" spans="1:15" ht="11.25" customHeight="1">
      <c r="A60" s="614" t="s">
        <v>486</v>
      </c>
      <c r="B60" s="429" t="s">
        <v>482</v>
      </c>
      <c r="C60" s="449" t="s">
        <v>499</v>
      </c>
      <c r="D60" s="514">
        <f>SUM('res, market-rate'!E10,'res, market-rate'!E36,'res, market-rate'!E60)/Residentialmarketrateaveragesize</f>
        <v>0</v>
      </c>
      <c r="E60" s="535">
        <f>SUM('res, market-rate'!F10,'res, market-rate'!F36,'res, market-rate'!F60)/Residentialmarketrateaveragesize</f>
        <v>0</v>
      </c>
      <c r="F60" s="514">
        <f>SUM('res, market-rate'!G10,'res, market-rate'!G36,'res, market-rate'!G60)/Residentialmarketrateaveragesize</f>
        <v>0</v>
      </c>
      <c r="G60" s="535">
        <f>SUM('res, market-rate'!H10,'res, market-rate'!H36,'res, market-rate'!H60)/Residentialmarketrateaveragesize</f>
        <v>849.43795734606749</v>
      </c>
      <c r="H60" s="514">
        <f>SUM('res, market-rate'!I10,'res, market-rate'!I36,'res, market-rate'!I60)/Residentialmarketrateaveragesize</f>
        <v>849.43795734606749</v>
      </c>
      <c r="I60" s="535">
        <f>SUM('res, market-rate'!J10,'res, market-rate'!J36,'res, market-rate'!J60)/Residentialmarketrateaveragesize</f>
        <v>1108.9815887528091</v>
      </c>
      <c r="J60" s="514">
        <f>SUM('res, market-rate'!K10,'res, market-rate'!K36,'res, market-rate'!K60)/Residentialmarketrateaveragesize</f>
        <v>1108.9815887528091</v>
      </c>
      <c r="K60" s="514">
        <f>SUM('res, market-rate'!L10,'res, market-rate'!L36,'res, market-rate'!L60)/Residentialmarketrateaveragesize</f>
        <v>1398.2277158831462</v>
      </c>
      <c r="L60" s="519">
        <f>SUM('res, market-rate'!M10,'res, market-rate'!M36,'res, market-rate'!M60)/Residentialmarketrateaveragesize</f>
        <v>1398.2277158831462</v>
      </c>
      <c r="M60" s="519">
        <f>SUM('res, market-rate'!N10,'res, market-rate'!N36,'res, market-rate'!N60)/Residentialmarketrateaveragesize</f>
        <v>1398.2277158831462</v>
      </c>
      <c r="N60" s="519">
        <f>SUM('res, market-rate'!O10,'res, market-rate'!O36,'res, market-rate'!O60)/Residentialmarketrateaveragesize</f>
        <v>1398.2277158831462</v>
      </c>
      <c r="O60" s="446"/>
    </row>
    <row r="61" spans="1:15" ht="11.25" customHeight="1">
      <c r="A61" s="615"/>
      <c r="B61" s="429" t="s">
        <v>481</v>
      </c>
      <c r="C61" s="449" t="s">
        <v>499</v>
      </c>
      <c r="D61" s="514">
        <f>SUM('res, condo'!E11,'res, condo'!E38,'res, condo'!E65)</f>
        <v>0</v>
      </c>
      <c r="E61" s="535">
        <f>SUM('res, condo'!F11,'res, condo'!F38,'res, condo'!F65)</f>
        <v>0</v>
      </c>
      <c r="F61" s="514">
        <f>SUM('res, condo'!G11,'res, condo'!G38,'res, condo'!G65)</f>
        <v>0</v>
      </c>
      <c r="G61" s="535">
        <f>SUM('res, condo'!H11,'res, condo'!H38,'res, condo'!H65)</f>
        <v>70.262499437837846</v>
      </c>
      <c r="H61" s="514">
        <f>SUM('res, condo'!I11,'res, condo'!I38,'res, condo'!I65)</f>
        <v>140.52499887567569</v>
      </c>
      <c r="I61" s="535">
        <f>SUM('res, condo'!J11,'res, condo'!J38,'res, condo'!J65)</f>
        <v>305.18488662702703</v>
      </c>
      <c r="J61" s="514">
        <f>SUM('res, condo'!K11,'res, condo'!K38,'res, condo'!K65)</f>
        <v>469.84477437837836</v>
      </c>
      <c r="K61" s="514">
        <f>SUM('res, condo'!L11,'res, condo'!L38,'res, condo'!L65)</f>
        <v>469.84477437837836</v>
      </c>
      <c r="L61" s="519">
        <f>SUM('res, condo'!M11,'res, condo'!M38,'res, condo'!M65)</f>
        <v>469.84477437837836</v>
      </c>
      <c r="M61" s="519">
        <f>SUM('res, condo'!N11,'res, condo'!N38,'res, condo'!N65)</f>
        <v>469.84477437837836</v>
      </c>
      <c r="N61" s="519">
        <f>SUM('res, condo'!O11,'res, condo'!O38,'res, condo'!O65)</f>
        <v>469.84477437837836</v>
      </c>
      <c r="O61" s="446"/>
    </row>
    <row r="62" spans="1:15" ht="11.25" customHeight="1">
      <c r="A62" s="614" t="s">
        <v>483</v>
      </c>
      <c r="B62" s="429" t="s">
        <v>482</v>
      </c>
      <c r="C62" s="449" t="s">
        <v>499</v>
      </c>
      <c r="D62" s="514">
        <f>SUM('res, affordable'!E10,'res, affordable'!E34,'res, affordable'!E58)/Residentialaffordableaveragesize</f>
        <v>0</v>
      </c>
      <c r="E62" s="535">
        <f>SUM('res, affordable'!F10,'res, affordable'!F34,'res, affordable'!F58)/Residentialaffordableaveragesize</f>
        <v>0</v>
      </c>
      <c r="F62" s="514">
        <f>SUM('res, affordable'!G10,'res, affordable'!G34,'res, affordable'!G58)/Residentialaffordableaveragesize</f>
        <v>0</v>
      </c>
      <c r="G62" s="535">
        <f>SUM('res, affordable'!H10,'res, affordable'!H34,'res, affordable'!H58)/Residentialaffordableaveragesize</f>
        <v>104.14244341071428</v>
      </c>
      <c r="H62" s="514">
        <f>SUM('res, affordable'!I10,'res, affordable'!I34,'res, affordable'!I58)/Residentialaffordableaveragesize</f>
        <v>104.14244341071428</v>
      </c>
      <c r="I62" s="535">
        <f>SUM('res, affordable'!J10,'res, affordable'!J34,'res, affordable'!J58)/Residentialaffordableaveragesize</f>
        <v>128.7471163392857</v>
      </c>
      <c r="J62" s="514">
        <f>SUM('res, affordable'!K10,'res, affordable'!K34,'res, affordable'!K58)/Residentialaffordableaveragesize</f>
        <v>128.7471163392857</v>
      </c>
      <c r="K62" s="514">
        <f>SUM('res, affordable'!L10,'res, affordable'!L34,'res, affordable'!L58)/Residentialaffordableaveragesize</f>
        <v>215.69031720380949</v>
      </c>
      <c r="L62" s="519">
        <f>SUM('res, affordable'!M10,'res, affordable'!M34,'res, affordable'!M58)/Residentialaffordableaveragesize</f>
        <v>215.69031720380949</v>
      </c>
      <c r="M62" s="519">
        <f>SUM('res, affordable'!N10,'res, affordable'!N34,'res, affordable'!N58)/Residentialaffordableaveragesize</f>
        <v>215.69031720380949</v>
      </c>
      <c r="N62" s="519">
        <f>SUM('res, affordable'!O10,'res, affordable'!O34,'res, affordable'!O58)/Residentialaffordableaveragesize</f>
        <v>215.69031720380949</v>
      </c>
      <c r="O62" s="446"/>
    </row>
    <row r="63" spans="1:15" ht="11.25" customHeight="1">
      <c r="A63" s="615"/>
      <c r="B63" s="429" t="s">
        <v>481</v>
      </c>
      <c r="C63" s="449" t="s">
        <v>499</v>
      </c>
      <c r="D63" s="447"/>
      <c r="E63" s="531"/>
      <c r="F63" s="446"/>
      <c r="G63" s="531"/>
      <c r="H63" s="446"/>
      <c r="I63" s="531"/>
      <c r="J63" s="446"/>
      <c r="K63" s="446"/>
      <c r="L63" s="451"/>
      <c r="M63" s="451"/>
      <c r="N63" s="451"/>
      <c r="O63" s="446"/>
    </row>
    <row r="64" spans="1:15" ht="11.25" customHeight="1">
      <c r="A64" s="590" t="s">
        <v>494</v>
      </c>
      <c r="B64" s="590"/>
      <c r="C64" s="449" t="s">
        <v>499</v>
      </c>
      <c r="D64" s="447"/>
      <c r="E64" s="531"/>
      <c r="F64" s="446"/>
      <c r="G64" s="531"/>
      <c r="H64" s="446"/>
      <c r="I64" s="531"/>
      <c r="J64" s="446"/>
      <c r="K64" s="446"/>
      <c r="L64" s="451"/>
      <c r="M64" s="451"/>
      <c r="N64" s="451"/>
      <c r="O64" s="446"/>
    </row>
    <row r="65" spans="1:15" ht="11.25" customHeight="1">
      <c r="A65" s="590" t="s">
        <v>145</v>
      </c>
      <c r="B65" s="590"/>
      <c r="C65" s="449" t="s">
        <v>498</v>
      </c>
      <c r="D65" s="515">
        <f>SUM(hotel!E13,hotel!E40,hotel!E67)</f>
        <v>0</v>
      </c>
      <c r="E65" s="536">
        <f>SUM(hotel!F13,hotel!F40,hotel!F67)</f>
        <v>0</v>
      </c>
      <c r="F65" s="515">
        <f>SUM(hotel!G13,hotel!G40,hotel!G67)</f>
        <v>0</v>
      </c>
      <c r="G65" s="536">
        <f>SUM(hotel!H13,hotel!H40,hotel!H67)</f>
        <v>209.64535215000001</v>
      </c>
      <c r="H65" s="515">
        <f>SUM(hotel!I13,hotel!I40,hotel!I67)</f>
        <v>209.64535215000001</v>
      </c>
      <c r="I65" s="536">
        <f>SUM(hotel!J13,hotel!J40,hotel!J67)</f>
        <v>544.47547845000008</v>
      </c>
      <c r="J65" s="515">
        <f>SUM(hotel!K13,hotel!K40,hotel!K67)</f>
        <v>544.47547845000008</v>
      </c>
      <c r="K65" s="515">
        <f>SUM(hotel!L13,hotel!L40,hotel!L67)</f>
        <v>544.47547845000008</v>
      </c>
      <c r="L65" s="515">
        <f>SUM(hotel!M13,hotel!M40,hotel!M67)</f>
        <v>544.47547845000008</v>
      </c>
      <c r="M65" s="515">
        <f>SUM(hotel!N13,hotel!N40,hotel!N67)</f>
        <v>544.47547845000008</v>
      </c>
      <c r="N65" s="515">
        <f>SUM(hotel!O13,hotel!O40,hotel!O67)</f>
        <v>544.47547845000008</v>
      </c>
      <c r="O65" s="446"/>
    </row>
    <row r="66" spans="1:15" ht="11.25" customHeight="1">
      <c r="A66" s="590" t="s">
        <v>474</v>
      </c>
      <c r="B66" s="590"/>
      <c r="C66" s="449" t="s">
        <v>497</v>
      </c>
      <c r="D66" s="514">
        <f>SUM(parking!E10,parking!E36,parking!E62)</f>
        <v>0</v>
      </c>
      <c r="E66" s="535">
        <f>SUM(parking!F10,parking!F36,parking!F62)</f>
        <v>0</v>
      </c>
      <c r="F66" s="514">
        <f>SUM(parking!G10,parking!G36,parking!G62)</f>
        <v>0</v>
      </c>
      <c r="G66" s="535">
        <f>SUM(parking!H10,parking!H36,parking!H62)</f>
        <v>0</v>
      </c>
      <c r="H66" s="514">
        <f>SUM(parking!I10,parking!I36,parking!I62)</f>
        <v>0</v>
      </c>
      <c r="I66" s="535">
        <f>SUM(parking!J10,parking!J36,parking!J62)</f>
        <v>202.9666977</v>
      </c>
      <c r="J66" s="514">
        <f>SUM(parking!K10,parking!K36,parking!K62)</f>
        <v>202.9666977</v>
      </c>
      <c r="K66" s="514">
        <f>SUM(parking!L10,parking!L36,parking!L62)</f>
        <v>542.41669769999999</v>
      </c>
      <c r="L66" s="519">
        <f>SUM(parking!M10,parking!M36,parking!M62)</f>
        <v>542.41669769999999</v>
      </c>
      <c r="M66" s="519">
        <f>SUM(parking!N10,parking!N36,parking!N62)</f>
        <v>542.41669769999999</v>
      </c>
      <c r="N66" s="519">
        <f>SUM(parking!O10,parking!O36,parking!O62)</f>
        <v>542.41669769999999</v>
      </c>
      <c r="O66" s="446"/>
    </row>
    <row r="67" spans="1:15" ht="11.25" customHeight="1">
      <c r="A67" s="590" t="s">
        <v>473</v>
      </c>
      <c r="B67" s="590"/>
      <c r="C67" s="449" t="s">
        <v>497</v>
      </c>
      <c r="D67" s="459"/>
      <c r="E67" s="537"/>
      <c r="F67" s="458"/>
      <c r="G67" s="537"/>
      <c r="H67" s="458"/>
      <c r="I67" s="537"/>
      <c r="J67" s="458"/>
      <c r="K67" s="458"/>
      <c r="L67" s="451"/>
      <c r="M67" s="451"/>
      <c r="N67" s="451"/>
      <c r="O67" s="458"/>
    </row>
    <row r="68" spans="1:15" ht="11.25" customHeight="1">
      <c r="A68" s="609" t="s">
        <v>127</v>
      </c>
      <c r="B68" s="609"/>
      <c r="C68" s="457"/>
      <c r="D68" s="444"/>
      <c r="E68" s="538"/>
      <c r="F68" s="442"/>
      <c r="G68" s="538"/>
      <c r="H68" s="442"/>
      <c r="I68" s="538"/>
      <c r="J68" s="442"/>
      <c r="K68" s="442"/>
      <c r="L68" s="443"/>
      <c r="M68" s="443"/>
      <c r="N68" s="443"/>
      <c r="O68" s="442"/>
    </row>
    <row r="69" spans="1:15" ht="11.25" customHeight="1">
      <c r="A69" s="456" t="s">
        <v>496</v>
      </c>
      <c r="B69" s="456"/>
      <c r="C69" s="455"/>
      <c r="D69" s="454"/>
      <c r="E69" s="521"/>
      <c r="F69" s="453"/>
      <c r="G69" s="521"/>
      <c r="H69" s="453"/>
      <c r="I69" s="521"/>
      <c r="J69" s="453"/>
      <c r="K69" s="453"/>
      <c r="L69" s="461"/>
      <c r="M69" s="461"/>
      <c r="N69" s="461"/>
      <c r="O69" s="453"/>
    </row>
    <row r="70" spans="1:15" ht="11.25" customHeight="1">
      <c r="A70" s="614" t="s">
        <v>486</v>
      </c>
      <c r="B70" s="429" t="s">
        <v>482</v>
      </c>
      <c r="C70" s="449" t="s">
        <v>493</v>
      </c>
      <c r="D70" s="515">
        <f>SUM('res, market-rate'!E9,'res, market-rate'!E35,'res, market-rate'!E59)</f>
        <v>0</v>
      </c>
      <c r="E70" s="536">
        <f>SUM('res, market-rate'!F9,'res, market-rate'!F35,'res, market-rate'!F59)</f>
        <v>0</v>
      </c>
      <c r="F70" s="515">
        <f>SUM('res, market-rate'!G9,'res, market-rate'!G35,'res, market-rate'!G59)</f>
        <v>0</v>
      </c>
      <c r="G70" s="536">
        <f>SUM('res, market-rate'!H9,'res, market-rate'!H35,'res, market-rate'!H59)</f>
        <v>629999.81836500007</v>
      </c>
      <c r="H70" s="515">
        <f>SUM('res, market-rate'!I9,'res, market-rate'!I35,'res, market-rate'!I59)</f>
        <v>629999.81836500007</v>
      </c>
      <c r="I70" s="536">
        <f>SUM('res, market-rate'!J9,'res, market-rate'!J35,'res, market-rate'!J59)</f>
        <v>822494.67832499999</v>
      </c>
      <c r="J70" s="515">
        <f>SUM('res, market-rate'!K9,'res, market-rate'!K35,'res, market-rate'!K59)</f>
        <v>822494.67832499999</v>
      </c>
      <c r="K70" s="515">
        <f>SUM('res, market-rate'!L9,'res, market-rate'!L35,'res, market-rate'!L59)</f>
        <v>1037018.88928</v>
      </c>
      <c r="L70" s="515">
        <f>SUM('res, market-rate'!M9,'res, market-rate'!M35,'res, market-rate'!M59)</f>
        <v>1037018.88928</v>
      </c>
      <c r="M70" s="515">
        <f>SUM('res, market-rate'!N9,'res, market-rate'!N35,'res, market-rate'!N59)</f>
        <v>1037018.88928</v>
      </c>
      <c r="N70" s="515">
        <f>SUM('res, market-rate'!O9,'res, market-rate'!O35,'res, market-rate'!O59)</f>
        <v>1037018.88928</v>
      </c>
      <c r="O70" s="446"/>
    </row>
    <row r="71" spans="1:15" ht="11.25" customHeight="1">
      <c r="A71" s="615"/>
      <c r="B71" s="429" t="s">
        <v>481</v>
      </c>
      <c r="C71" s="449" t="s">
        <v>493</v>
      </c>
      <c r="D71" s="515">
        <f>SUM('res, condo'!E9,'res, condo'!E36,'res, condo'!E63)</f>
        <v>0</v>
      </c>
      <c r="E71" s="536">
        <f>SUM('res, condo'!F9,'res, condo'!F36,'res, condo'!F63)</f>
        <v>0</v>
      </c>
      <c r="F71" s="515">
        <f>SUM('res, condo'!G9,'res, condo'!G36,'res, condo'!G63)</f>
        <v>0</v>
      </c>
      <c r="G71" s="536">
        <f>SUM('res, condo'!H9,'res, condo'!H36,'res, condo'!H63)</f>
        <v>129985.62396</v>
      </c>
      <c r="H71" s="515">
        <f>SUM('res, condo'!I9,'res, condo'!I36,'res, condo'!I63)</f>
        <v>129985.62396</v>
      </c>
      <c r="I71" s="536">
        <f>SUM('res, condo'!J9,'res, condo'!J36,'res, condo'!J63)</f>
        <v>434606.41629999998</v>
      </c>
      <c r="J71" s="515">
        <f>SUM('res, condo'!K9,'res, condo'!K36,'res, condo'!K63)</f>
        <v>434606.41629999998</v>
      </c>
      <c r="K71" s="515">
        <f>SUM('res, condo'!L9,'res, condo'!L36,'res, condo'!L63)</f>
        <v>434606.41629999998</v>
      </c>
      <c r="L71" s="515">
        <f>SUM('res, condo'!M9,'res, condo'!M36,'res, condo'!M63)</f>
        <v>434606.41629999998</v>
      </c>
      <c r="M71" s="515">
        <f>SUM('res, condo'!N9,'res, condo'!N36,'res, condo'!N63)</f>
        <v>434606.41629999998</v>
      </c>
      <c r="N71" s="515">
        <f>SUM('res, condo'!O9,'res, condo'!O36,'res, condo'!O63)</f>
        <v>434606.41629999998</v>
      </c>
      <c r="O71" s="446"/>
    </row>
    <row r="72" spans="1:15" ht="11.25" customHeight="1">
      <c r="A72" s="614" t="s">
        <v>483</v>
      </c>
      <c r="B72" s="429" t="s">
        <v>482</v>
      </c>
      <c r="C72" s="449" t="s">
        <v>493</v>
      </c>
      <c r="D72" s="515">
        <f>SUM('res, affordable'!E9,'res, affordable'!E33,'res, affordable'!E57)</f>
        <v>0</v>
      </c>
      <c r="E72" s="536">
        <f>SUM('res, affordable'!F9,'res, affordable'!F33,'res, affordable'!F57)</f>
        <v>0</v>
      </c>
      <c r="F72" s="515">
        <f>SUM('res, affordable'!G9,'res, affordable'!G33,'res, affordable'!G57)</f>
        <v>0</v>
      </c>
      <c r="G72" s="536">
        <f>SUM('res, affordable'!H9,'res, affordable'!H33,'res, affordable'!H57)</f>
        <v>115104.80587499999</v>
      </c>
      <c r="H72" s="515">
        <f>SUM('res, affordable'!I9,'res, affordable'!I33,'res, affordable'!I57)</f>
        <v>115104.80587499999</v>
      </c>
      <c r="I72" s="536">
        <f>SUM('res, affordable'!J9,'res, affordable'!J33,'res, affordable'!J57)</f>
        <v>142299.44437499999</v>
      </c>
      <c r="J72" s="515">
        <f>SUM('res, affordable'!K9,'res, affordable'!K33,'res, affordable'!K57)</f>
        <v>142299.44437499999</v>
      </c>
      <c r="K72" s="515">
        <f>SUM('res, affordable'!L9,'res, affordable'!L33,'res, affordable'!L57)</f>
        <v>238394.56111999997</v>
      </c>
      <c r="L72" s="515">
        <f>SUM('res, affordable'!M9,'res, affordable'!M33,'res, affordable'!M57)</f>
        <v>238394.56111999997</v>
      </c>
      <c r="M72" s="515">
        <f>SUM('res, affordable'!N9,'res, affordable'!N33,'res, affordable'!N57)</f>
        <v>238394.56111999997</v>
      </c>
      <c r="N72" s="515">
        <f>SUM('res, affordable'!O9,'res, affordable'!O33,'res, affordable'!O57)</f>
        <v>238394.56111999997</v>
      </c>
      <c r="O72" s="446"/>
    </row>
    <row r="73" spans="1:15" ht="11.25" customHeight="1">
      <c r="A73" s="615"/>
      <c r="B73" s="429" t="s">
        <v>481</v>
      </c>
      <c r="C73" s="449" t="s">
        <v>493</v>
      </c>
      <c r="D73" s="447"/>
      <c r="E73" s="531"/>
      <c r="F73" s="446"/>
      <c r="G73" s="531"/>
      <c r="H73" s="446"/>
      <c r="I73" s="531"/>
      <c r="J73" s="446"/>
      <c r="K73" s="446"/>
      <c r="L73" s="451"/>
      <c r="M73" s="451"/>
      <c r="N73" s="451"/>
      <c r="O73" s="446"/>
    </row>
    <row r="74" spans="1:15" ht="11.25" customHeight="1">
      <c r="A74" s="590" t="s">
        <v>479</v>
      </c>
      <c r="B74" s="590"/>
      <c r="C74" s="449" t="s">
        <v>493</v>
      </c>
      <c r="D74" s="515">
        <f>SUM(office!E9:E10,office!E37,office!E62)</f>
        <v>0</v>
      </c>
      <c r="E74" s="536">
        <f>SUM(office!F9:F10,office!F37,office!F62)</f>
        <v>0</v>
      </c>
      <c r="F74" s="515">
        <f>SUM(office!G9:G10,office!G37,office!G62)</f>
        <v>0</v>
      </c>
      <c r="G74" s="536">
        <f>SUM(office!H9:H10,office!H37,office!H62)</f>
        <v>628009.09349999984</v>
      </c>
      <c r="H74" s="515">
        <f>SUM(office!I9:I10,office!I37,office!I62)</f>
        <v>628009.09349999984</v>
      </c>
      <c r="I74" s="536">
        <f>SUM(office!J9:J10,office!J37,office!J62)</f>
        <v>993878.48299999989</v>
      </c>
      <c r="J74" s="515">
        <f>SUM(office!K9:K10,office!K37,office!K62)</f>
        <v>993878.48299999989</v>
      </c>
      <c r="K74" s="515">
        <f>SUM(office!L9:L10,office!L37,office!L62)</f>
        <v>1669347.2996</v>
      </c>
      <c r="L74" s="515">
        <f>SUM(office!M9:M10,office!M37,office!M62)</f>
        <v>1669347.2996</v>
      </c>
      <c r="M74" s="515">
        <f>SUM(office!N9:N10,office!N37,office!N62)</f>
        <v>1669347.2996</v>
      </c>
      <c r="N74" s="515">
        <f>SUM(office!O9:O10,office!O37,office!O62)</f>
        <v>1669347.2996</v>
      </c>
      <c r="O74" s="450"/>
    </row>
    <row r="75" spans="1:15" ht="11.25" customHeight="1">
      <c r="A75" s="590" t="s">
        <v>495</v>
      </c>
      <c r="B75" s="590"/>
      <c r="C75" s="449" t="s">
        <v>493</v>
      </c>
      <c r="D75" s="515">
        <f>SUM(retail!E9:E10,retail!E37,retail!E62)</f>
        <v>0</v>
      </c>
      <c r="E75" s="536">
        <f>SUM(retail!F9:F10,retail!F37,retail!F62)</f>
        <v>0</v>
      </c>
      <c r="F75" s="515">
        <f>SUM(retail!G9:G10,retail!G37,retail!G62)</f>
        <v>0</v>
      </c>
      <c r="G75" s="536">
        <f>SUM(retail!H9:H10,retail!H37,retail!H62)</f>
        <v>428707.43999999994</v>
      </c>
      <c r="H75" s="515">
        <f>SUM(retail!I9:I10,retail!I37,retail!I62)</f>
        <v>428707.43999999994</v>
      </c>
      <c r="I75" s="536">
        <f>SUM(retail!J9:J10,retail!J37,retail!J62)</f>
        <v>659609.13769999996</v>
      </c>
      <c r="J75" s="515">
        <f>SUM(retail!K9:K10,retail!K37,retail!K62)</f>
        <v>659609.13769999996</v>
      </c>
      <c r="K75" s="515">
        <f>SUM(retail!L9:L10,retail!L37,retail!L62)</f>
        <v>721321.98849999998</v>
      </c>
      <c r="L75" s="515">
        <f>SUM(retail!M9:M10,retail!M37,retail!M62)</f>
        <v>721321.98849999998</v>
      </c>
      <c r="M75" s="515">
        <f>SUM(retail!N9:N10,retail!N37,retail!N62)</f>
        <v>721321.98849999998</v>
      </c>
      <c r="N75" s="515">
        <f>SUM(retail!O9:O10,retail!O37,retail!O62)</f>
        <v>721321.98849999998</v>
      </c>
      <c r="O75" s="450"/>
    </row>
    <row r="76" spans="1:15" ht="11.25" customHeight="1">
      <c r="A76" s="429"/>
      <c r="B76" s="429" t="s">
        <v>494</v>
      </c>
      <c r="C76" s="449" t="s">
        <v>493</v>
      </c>
      <c r="D76" s="452"/>
      <c r="E76" s="539"/>
      <c r="F76" s="450"/>
      <c r="G76" s="539"/>
      <c r="H76" s="450"/>
      <c r="I76" s="539"/>
      <c r="J76" s="450"/>
      <c r="K76" s="450"/>
      <c r="L76" s="451"/>
      <c r="M76" s="451"/>
      <c r="N76" s="451"/>
      <c r="O76" s="450"/>
    </row>
    <row r="77" spans="1:15" ht="11.25" customHeight="1">
      <c r="A77" s="590" t="s">
        <v>145</v>
      </c>
      <c r="B77" s="590"/>
      <c r="C77" s="449" t="s">
        <v>493</v>
      </c>
      <c r="D77" s="515">
        <f>SUM(hotel!E9,hotel!E36,hotel!E63)</f>
        <v>0</v>
      </c>
      <c r="E77" s="536">
        <f>SUM(hotel!F9,hotel!F36,hotel!F63)</f>
        <v>0</v>
      </c>
      <c r="F77" s="515">
        <f>SUM(hotel!G9,hotel!G36,hotel!G63)</f>
        <v>0</v>
      </c>
      <c r="G77" s="536">
        <f>SUM(hotel!H9,hotel!H36,hotel!H63)</f>
        <v>139763.5681</v>
      </c>
      <c r="H77" s="515">
        <f>SUM(hotel!I9,hotel!I36,hotel!I63)</f>
        <v>139763.5681</v>
      </c>
      <c r="I77" s="536">
        <f>SUM(hotel!J9,hotel!J36,hotel!J63)</f>
        <v>362983.65230000002</v>
      </c>
      <c r="J77" s="515">
        <f>SUM(hotel!K9,hotel!K36,hotel!K63)</f>
        <v>362983.65230000002</v>
      </c>
      <c r="K77" s="515">
        <f>SUM(hotel!L9,hotel!L36,hotel!L63)</f>
        <v>362983.65230000002</v>
      </c>
      <c r="L77" s="515">
        <f>SUM(hotel!M9,hotel!M36,hotel!M63)</f>
        <v>362983.65230000002</v>
      </c>
      <c r="M77" s="515">
        <f>SUM(hotel!N9,hotel!N36,hotel!N63)</f>
        <v>362983.65230000002</v>
      </c>
      <c r="N77" s="515">
        <f>SUM(hotel!O9,hotel!O36,hotel!O63)</f>
        <v>362983.65230000002</v>
      </c>
      <c r="O77" s="446"/>
    </row>
    <row r="78" spans="1:15" ht="11.25" customHeight="1">
      <c r="A78" s="590" t="s">
        <v>474</v>
      </c>
      <c r="B78" s="590"/>
      <c r="C78" s="449" t="s">
        <v>493</v>
      </c>
      <c r="D78" s="515">
        <f>SUM(parking!E9,parking!E35,parking!E61)</f>
        <v>0</v>
      </c>
      <c r="E78" s="536">
        <f>SUM(parking!F9,parking!F35,parking!F61)</f>
        <v>0</v>
      </c>
      <c r="F78" s="515">
        <f>SUM(parking!G9,parking!G35,parking!G61)</f>
        <v>0</v>
      </c>
      <c r="G78" s="536">
        <f>SUM(parking!H9,parking!H35,parking!H61)</f>
        <v>0</v>
      </c>
      <c r="H78" s="515">
        <f>SUM(parking!I9,parking!I35,parking!I61)</f>
        <v>0</v>
      </c>
      <c r="I78" s="536">
        <f>SUM(parking!J9,parking!J35,parking!J61)</f>
        <v>67655.565900000001</v>
      </c>
      <c r="J78" s="515">
        <f>SUM(parking!K9,parking!K35,parking!K61)</f>
        <v>67655.565900000001</v>
      </c>
      <c r="K78" s="515">
        <f>SUM(parking!L9,parking!L35,parking!L61)</f>
        <v>180805.56589999999</v>
      </c>
      <c r="L78" s="515">
        <f>SUM(parking!M9,parking!M35,parking!M61)</f>
        <v>180805.56589999999</v>
      </c>
      <c r="M78" s="515">
        <f>SUM(parking!N9,parking!N35,parking!N61)</f>
        <v>180805.56589999999</v>
      </c>
      <c r="N78" s="515">
        <f>SUM(parking!O9,parking!O35,parking!O61)</f>
        <v>180805.56589999999</v>
      </c>
      <c r="O78" s="446"/>
    </row>
    <row r="79" spans="1:15" ht="11.25" customHeight="1">
      <c r="A79" s="590" t="s">
        <v>473</v>
      </c>
      <c r="B79" s="590"/>
      <c r="C79" s="449" t="s">
        <v>493</v>
      </c>
      <c r="D79" s="447"/>
      <c r="E79" s="531"/>
      <c r="F79" s="446"/>
      <c r="G79" s="531"/>
      <c r="H79" s="446"/>
      <c r="I79" s="531"/>
      <c r="J79" s="446"/>
      <c r="K79" s="446"/>
      <c r="L79" s="451"/>
      <c r="M79" s="451"/>
      <c r="N79" s="451"/>
      <c r="O79" s="446"/>
    </row>
    <row r="80" spans="1:15" ht="11.25" customHeight="1">
      <c r="A80" s="609" t="s">
        <v>286</v>
      </c>
      <c r="B80" s="609"/>
      <c r="C80" s="448" t="s">
        <v>493</v>
      </c>
      <c r="D80" s="515">
        <f>SUM('public bldgs'!E9,'public bldgs'!E32,'public bldgs'!E52)</f>
        <v>0</v>
      </c>
      <c r="E80" s="536">
        <f>SUM('public bldgs'!F9,'public bldgs'!F32,'public bldgs'!F52)</f>
        <v>0</v>
      </c>
      <c r="F80" s="515">
        <f>SUM('public bldgs'!G9,'public bldgs'!G32,'public bldgs'!G52)</f>
        <v>0</v>
      </c>
      <c r="G80" s="536">
        <f>SUM('public bldgs'!H9,'public bldgs'!H32,'public bldgs'!H52)</f>
        <v>101447</v>
      </c>
      <c r="H80" s="515">
        <f>SUM('public bldgs'!I9,'public bldgs'!I32,'public bldgs'!I52)</f>
        <v>101447</v>
      </c>
      <c r="I80" s="536">
        <f>SUM('public bldgs'!J9,'public bldgs'!J32,'public bldgs'!J52)</f>
        <v>144069.26360000001</v>
      </c>
      <c r="J80" s="515">
        <f>SUM('public bldgs'!K9,'public bldgs'!K32,'public bldgs'!K52)</f>
        <v>144069.26360000001</v>
      </c>
      <c r="K80" s="515">
        <f>SUM('public bldgs'!L9,'public bldgs'!L32,'public bldgs'!L52)</f>
        <v>144069.26360000001</v>
      </c>
      <c r="L80" s="515">
        <f>SUM('public bldgs'!M9,'public bldgs'!M32,'public bldgs'!M52)</f>
        <v>144069.26360000001</v>
      </c>
      <c r="M80" s="515">
        <f>SUM('public bldgs'!N9,'public bldgs'!N32,'public bldgs'!N52)</f>
        <v>144069.26360000001</v>
      </c>
      <c r="N80" s="515">
        <f>SUM('public bldgs'!O9,'public bldgs'!O32,'public bldgs'!O52)</f>
        <v>144069.26360000001</v>
      </c>
      <c r="O80" s="446"/>
    </row>
    <row r="81" spans="1:15" ht="11.25" customHeight="1">
      <c r="A81" s="624" t="s">
        <v>201</v>
      </c>
      <c r="B81" s="624"/>
      <c r="C81" s="445" t="s">
        <v>493</v>
      </c>
      <c r="D81" s="516">
        <f>SUM(D70:D80)</f>
        <v>0</v>
      </c>
      <c r="E81" s="540">
        <f t="shared" ref="E81:N81" si="9">SUM(E70:E80)</f>
        <v>0</v>
      </c>
      <c r="F81" s="516">
        <f t="shared" si="9"/>
        <v>0</v>
      </c>
      <c r="G81" s="540">
        <f t="shared" si="9"/>
        <v>2173017.3498</v>
      </c>
      <c r="H81" s="516">
        <f t="shared" si="9"/>
        <v>2173017.3498</v>
      </c>
      <c r="I81" s="540">
        <f t="shared" si="9"/>
        <v>3627596.6414999999</v>
      </c>
      <c r="J81" s="516">
        <f t="shared" si="9"/>
        <v>3627596.6414999999</v>
      </c>
      <c r="K81" s="516">
        <f t="shared" si="9"/>
        <v>4788547.6365999999</v>
      </c>
      <c r="L81" s="518">
        <f t="shared" si="9"/>
        <v>4788547.6365999999</v>
      </c>
      <c r="M81" s="518">
        <f t="shared" si="9"/>
        <v>4788547.6365999999</v>
      </c>
      <c r="N81" s="518">
        <f t="shared" si="9"/>
        <v>4788547.6365999999</v>
      </c>
      <c r="O81" s="442"/>
    </row>
    <row r="82" spans="1:15" ht="11.25" customHeight="1"/>
    <row r="83" spans="1:15" s="440" customFormat="1" ht="11.25" customHeight="1">
      <c r="A83" s="616" t="s">
        <v>492</v>
      </c>
      <c r="B83" s="616"/>
      <c r="C83" s="616"/>
      <c r="D83" s="616"/>
      <c r="E83" s="616"/>
      <c r="F83" s="616"/>
      <c r="G83" s="441"/>
      <c r="H83" s="617" t="s">
        <v>491</v>
      </c>
      <c r="I83" s="617"/>
      <c r="J83" s="617"/>
      <c r="K83" s="617"/>
      <c r="L83" s="617"/>
      <c r="M83" s="617"/>
      <c r="N83" s="617"/>
      <c r="O83" s="617"/>
    </row>
    <row r="84" spans="1:15" s="439" customFormat="1" ht="11.25" customHeight="1">
      <c r="A84" s="618" t="s">
        <v>490</v>
      </c>
      <c r="B84" s="618"/>
      <c r="C84" s="619" t="s">
        <v>489</v>
      </c>
      <c r="D84" s="619"/>
      <c r="E84" s="619" t="s">
        <v>488</v>
      </c>
      <c r="F84" s="619"/>
      <c r="H84" s="620"/>
      <c r="I84" s="620"/>
      <c r="J84" s="620"/>
      <c r="K84" s="619" t="s">
        <v>487</v>
      </c>
      <c r="L84" s="619"/>
      <c r="M84" s="500" t="s">
        <v>546</v>
      </c>
      <c r="N84" s="586" t="s">
        <v>547</v>
      </c>
      <c r="O84" s="586"/>
    </row>
    <row r="85" spans="1:15" ht="11.25" customHeight="1">
      <c r="A85" s="614" t="s">
        <v>486</v>
      </c>
      <c r="B85" s="438" t="s">
        <v>482</v>
      </c>
      <c r="C85" s="621" t="s">
        <v>480</v>
      </c>
      <c r="D85" s="621"/>
      <c r="E85" s="622">
        <f>ABS(SUM(D26:N26)/N60)</f>
        <v>122875.49282927277</v>
      </c>
      <c r="F85" s="622"/>
      <c r="H85" s="623" t="s">
        <v>485</v>
      </c>
      <c r="I85" s="623"/>
      <c r="J85" s="623"/>
      <c r="K85" s="587"/>
      <c r="L85" s="587"/>
      <c r="M85" s="437"/>
      <c r="N85" s="558"/>
      <c r="O85" s="558"/>
    </row>
    <row r="86" spans="1:15" ht="11.25" customHeight="1">
      <c r="A86" s="615"/>
      <c r="B86" s="429" t="s">
        <v>481</v>
      </c>
      <c r="C86" s="610" t="s">
        <v>480</v>
      </c>
      <c r="D86" s="610"/>
      <c r="E86" s="611">
        <f>ABS(SUM(D27:N27)/N61)</f>
        <v>163478.48275687578</v>
      </c>
      <c r="F86" s="611"/>
      <c r="I86" s="451"/>
      <c r="J86" s="451" t="s">
        <v>530</v>
      </c>
      <c r="K86" s="509">
        <f>ABS(SUM(combined!D46:N46,combined!D104:N104,combined!D160:N160))</f>
        <v>457217634.36334604</v>
      </c>
      <c r="L86" s="509"/>
      <c r="M86" s="562">
        <f>K86/C104</f>
        <v>0.49125000000000008</v>
      </c>
      <c r="N86" s="585">
        <f ca="1">K86/$K$92</f>
        <v>0.27128100512537245</v>
      </c>
      <c r="O86" s="585"/>
    </row>
    <row r="87" spans="1:15" ht="11.25" customHeight="1">
      <c r="A87" s="436" t="s">
        <v>484</v>
      </c>
      <c r="B87" s="429" t="s">
        <v>482</v>
      </c>
      <c r="C87" s="435"/>
      <c r="D87" s="435" t="s">
        <v>480</v>
      </c>
      <c r="E87" s="592"/>
      <c r="F87" s="592"/>
      <c r="H87" s="451"/>
      <c r="I87" s="451"/>
      <c r="J87" s="451"/>
      <c r="K87" s="509"/>
      <c r="L87" s="509"/>
      <c r="M87" s="438"/>
      <c r="N87" s="451"/>
      <c r="O87" s="451"/>
    </row>
    <row r="88" spans="1:15" ht="11.25" customHeight="1">
      <c r="A88" s="614" t="s">
        <v>483</v>
      </c>
      <c r="B88" s="429" t="s">
        <v>482</v>
      </c>
      <c r="C88" s="610" t="s">
        <v>480</v>
      </c>
      <c r="D88" s="610"/>
      <c r="E88" s="611">
        <f>ABS(SUM(D29:N29)/N62)</f>
        <v>153218.65510453482</v>
      </c>
      <c r="F88" s="611"/>
      <c r="H88" s="431" t="s">
        <v>476</v>
      </c>
      <c r="I88" s="431"/>
      <c r="J88" s="431"/>
      <c r="K88" s="578"/>
      <c r="L88" s="578"/>
      <c r="M88" s="563">
        <f>1-M86</f>
        <v>0.50874999999999992</v>
      </c>
      <c r="N88" s="558"/>
      <c r="O88" s="558"/>
    </row>
    <row r="89" spans="1:15" ht="11.25" customHeight="1">
      <c r="A89" s="615"/>
      <c r="B89" s="429" t="s">
        <v>481</v>
      </c>
      <c r="C89" s="610" t="s">
        <v>480</v>
      </c>
      <c r="D89" s="610"/>
      <c r="E89" s="611"/>
      <c r="F89" s="611"/>
      <c r="I89" s="429"/>
      <c r="J89" s="429" t="s">
        <v>535</v>
      </c>
      <c r="K89" s="577">
        <f>ABS(SUM(combined!D47:N47,combined!D105:N105,combined!D161:N161))</f>
        <v>473505285.46025908</v>
      </c>
      <c r="L89" s="577"/>
      <c r="M89" s="429"/>
      <c r="N89" s="562">
        <f ca="1">K89/$K$92</f>
        <v>0.28094495950642895</v>
      </c>
      <c r="O89" s="562"/>
    </row>
    <row r="90" spans="1:15" ht="11.25" customHeight="1">
      <c r="A90" s="590" t="s">
        <v>479</v>
      </c>
      <c r="B90" s="590"/>
      <c r="C90" s="610" t="s">
        <v>477</v>
      </c>
      <c r="D90" s="610"/>
      <c r="E90" s="611">
        <f>ABS(SUM(D31:N31)/N74)</f>
        <v>177.6676594272852</v>
      </c>
      <c r="F90" s="611"/>
      <c r="I90" s="429"/>
      <c r="J90" s="429" t="s">
        <v>536</v>
      </c>
      <c r="K90" s="577">
        <f>ABS(SUM(combined!D53:N53,combined!D111:N111,combined!D167:N167))</f>
        <v>754679396.31733906</v>
      </c>
      <c r="L90" s="577"/>
      <c r="M90" s="429"/>
      <c r="N90" s="562">
        <f ca="1">K90/$K$92</f>
        <v>0.44777403536819871</v>
      </c>
      <c r="O90" s="562"/>
    </row>
    <row r="91" spans="1:15" ht="11.25" customHeight="1">
      <c r="A91" s="590" t="s">
        <v>478</v>
      </c>
      <c r="B91" s="590"/>
      <c r="C91" s="610" t="s">
        <v>477</v>
      </c>
      <c r="D91" s="610"/>
      <c r="E91" s="611">
        <f>ABS(SUM(D32:N32)/N75)</f>
        <v>165.8412033683019</v>
      </c>
      <c r="F91" s="611"/>
      <c r="H91" s="429"/>
      <c r="I91" s="429"/>
      <c r="J91" s="429"/>
      <c r="K91" s="577"/>
      <c r="L91" s="577"/>
      <c r="M91" s="429"/>
      <c r="N91" s="429"/>
      <c r="O91" s="429"/>
    </row>
    <row r="92" spans="1:15" ht="11.25" customHeight="1">
      <c r="A92" s="590" t="s">
        <v>145</v>
      </c>
      <c r="B92" s="590"/>
      <c r="C92" s="610" t="s">
        <v>475</v>
      </c>
      <c r="D92" s="610"/>
      <c r="E92" s="611">
        <f>ABS(SUM(D33:N33)/N65)</f>
        <v>200847.4557003231</v>
      </c>
      <c r="F92" s="611"/>
      <c r="H92" s="605" t="s">
        <v>201</v>
      </c>
      <c r="I92" s="605"/>
      <c r="J92" s="605"/>
      <c r="K92" s="579">
        <f ca="1">SUM(K86:L97)</f>
        <v>1685402316.140944</v>
      </c>
      <c r="L92" s="579"/>
      <c r="M92" s="559"/>
      <c r="N92" s="606">
        <v>1</v>
      </c>
      <c r="O92" s="606"/>
    </row>
    <row r="93" spans="1:15" ht="11.25" customHeight="1">
      <c r="A93" s="590" t="s">
        <v>474</v>
      </c>
      <c r="B93" s="590"/>
      <c r="C93" s="610" t="s">
        <v>472</v>
      </c>
      <c r="D93" s="610"/>
      <c r="E93" s="611">
        <f>ABS(SUM(D34:N34)/N66)</f>
        <v>20649.614736913467</v>
      </c>
      <c r="F93" s="611"/>
    </row>
    <row r="94" spans="1:15" ht="11.25" customHeight="1">
      <c r="A94" s="590" t="s">
        <v>473</v>
      </c>
      <c r="B94" s="590"/>
      <c r="C94" s="435"/>
      <c r="D94" s="434" t="s">
        <v>472</v>
      </c>
      <c r="E94" s="608"/>
      <c r="F94" s="608"/>
      <c r="H94" s="483"/>
      <c r="I94" s="483"/>
      <c r="J94" s="483"/>
      <c r="K94" s="580"/>
      <c r="L94" s="580"/>
      <c r="M94" s="483"/>
      <c r="N94" s="483"/>
      <c r="O94" s="483"/>
    </row>
    <row r="95" spans="1:15" ht="11.25" customHeight="1">
      <c r="A95" s="609" t="s">
        <v>127</v>
      </c>
      <c r="B95" s="609"/>
      <c r="C95" s="612" t="s">
        <v>472</v>
      </c>
      <c r="D95" s="612"/>
      <c r="E95" s="613"/>
      <c r="F95" s="613"/>
      <c r="H95" s="425"/>
      <c r="I95" s="425"/>
      <c r="J95" s="425"/>
      <c r="K95" s="425"/>
      <c r="L95" s="425"/>
      <c r="M95" s="425"/>
      <c r="N95" s="425"/>
      <c r="O95" s="425"/>
    </row>
    <row r="96" spans="1:15" ht="11.25" customHeight="1">
      <c r="A96" s="432" t="s">
        <v>471</v>
      </c>
      <c r="B96" s="432"/>
      <c r="C96" s="591" t="s">
        <v>470</v>
      </c>
      <c r="D96" s="591"/>
      <c r="E96" s="607" t="s">
        <v>469</v>
      </c>
      <c r="F96" s="607"/>
      <c r="H96" s="581"/>
      <c r="I96" s="581"/>
      <c r="J96" s="581"/>
      <c r="K96" s="582"/>
      <c r="L96" s="582"/>
      <c r="M96" s="581"/>
      <c r="N96" s="581"/>
      <c r="O96" s="581"/>
    </row>
    <row r="97" spans="1:15" ht="11.25" customHeight="1">
      <c r="A97" s="430"/>
      <c r="B97" s="429" t="s">
        <v>468</v>
      </c>
      <c r="C97" s="588">
        <f>SUMIF(infstrc!$D$4:$D$23,$B97,infstrc!$J$4:$J$23)</f>
        <v>5678400</v>
      </c>
      <c r="D97" s="588"/>
      <c r="E97" s="597"/>
      <c r="F97" s="597"/>
      <c r="H97" s="581"/>
      <c r="I97" s="581"/>
      <c r="J97" s="581"/>
      <c r="K97" s="582"/>
      <c r="L97" s="582"/>
      <c r="M97" s="581"/>
      <c r="N97" s="581"/>
      <c r="O97" s="581"/>
    </row>
    <row r="98" spans="1:15" ht="11.25" customHeight="1">
      <c r="A98" s="430"/>
      <c r="B98" s="429" t="s">
        <v>467</v>
      </c>
      <c r="C98" s="588">
        <f>SUMIF(infstrc!$D$4:$D$23,$B98,infstrc!$J$4:$J$23)</f>
        <v>2500000</v>
      </c>
      <c r="D98" s="588"/>
      <c r="E98" s="589"/>
      <c r="F98" s="589"/>
      <c r="H98" s="583"/>
      <c r="I98" s="583"/>
      <c r="J98" s="583"/>
      <c r="K98" s="584"/>
      <c r="L98" s="584"/>
      <c r="M98" s="581"/>
      <c r="N98" s="598"/>
      <c r="O98" s="598"/>
    </row>
    <row r="99" spans="1:15" ht="11.25" customHeight="1">
      <c r="A99" s="430"/>
      <c r="B99" s="429" t="s">
        <v>466</v>
      </c>
      <c r="C99" s="588">
        <f>SUMIF(infstrc!$D$4:$D$23,$B99,infstrc!$J$4:$J$23)</f>
        <v>45000000</v>
      </c>
      <c r="D99" s="588"/>
      <c r="E99" s="589"/>
      <c r="F99" s="589"/>
      <c r="H99" s="425"/>
      <c r="I99" s="425"/>
      <c r="J99" s="425"/>
      <c r="K99" s="425"/>
      <c r="L99" s="425"/>
      <c r="M99" s="425"/>
      <c r="N99" s="425"/>
      <c r="O99" s="425"/>
    </row>
    <row r="100" spans="1:15" ht="11.25" customHeight="1">
      <c r="A100" s="430"/>
      <c r="B100" s="429" t="s">
        <v>306</v>
      </c>
      <c r="C100" s="588">
        <f>SUMIF(infstrc!$D$4:$D$23,$B100,infstrc!$J$4:$J$23)</f>
        <v>3407040</v>
      </c>
      <c r="D100" s="588"/>
      <c r="E100" s="589"/>
      <c r="F100" s="589"/>
      <c r="H100" s="425"/>
      <c r="I100" s="425"/>
      <c r="J100" s="425"/>
      <c r="K100" s="425"/>
      <c r="L100" s="425"/>
      <c r="M100" s="425"/>
      <c r="N100" s="425"/>
      <c r="O100" s="425"/>
    </row>
    <row r="101" spans="1:15" ht="11.25" customHeight="1">
      <c r="A101" s="428"/>
      <c r="B101" s="433" t="s">
        <v>465</v>
      </c>
      <c r="C101" s="593">
        <f>SUMIF(infstrc!$D$4:$D$23,$B101,infstrc!$J$4:$J$23)</f>
        <v>7924000</v>
      </c>
      <c r="D101" s="593"/>
      <c r="E101" s="589"/>
      <c r="F101" s="589"/>
    </row>
    <row r="102" spans="1:15" ht="11.25" customHeight="1">
      <c r="A102" s="427"/>
      <c r="B102" s="426" t="s">
        <v>464</v>
      </c>
      <c r="C102" s="599"/>
      <c r="D102" s="600"/>
      <c r="E102" s="601"/>
      <c r="F102" s="601"/>
    </row>
    <row r="103" spans="1:15" ht="11.25" customHeight="1">
      <c r="A103" s="427"/>
      <c r="B103" s="426" t="s">
        <v>463</v>
      </c>
      <c r="C103" s="594">
        <f>SUM(infstrc!K24:M24)</f>
        <v>74185855.999999985</v>
      </c>
      <c r="D103" s="595"/>
      <c r="E103" s="596"/>
      <c r="F103" s="596"/>
      <c r="G103" s="561"/>
    </row>
    <row r="104" spans="1:15" ht="11.25" customHeight="1">
      <c r="A104" s="427"/>
      <c r="B104" s="426" t="s">
        <v>462</v>
      </c>
      <c r="C104" s="602">
        <f>ABS(SUM(D41:N41))</f>
        <v>930722919.82360506</v>
      </c>
      <c r="D104" s="603"/>
      <c r="E104" s="604"/>
      <c r="F104" s="604"/>
      <c r="G104" s="425"/>
    </row>
    <row r="105" spans="1:15" ht="14.2" customHeight="1">
      <c r="C105" s="424"/>
      <c r="D105" s="423"/>
    </row>
    <row r="106" spans="1:15" ht="14.2" customHeight="1">
      <c r="C106" s="424"/>
      <c r="D106" s="423"/>
    </row>
    <row r="107" spans="1:15" ht="14.2" customHeight="1">
      <c r="C107" s="424"/>
      <c r="D107" s="423"/>
    </row>
    <row r="108" spans="1:15" ht="14.2" customHeight="1">
      <c r="C108" s="424"/>
      <c r="D108" s="423"/>
    </row>
  </sheetData>
  <mergeCells count="101">
    <mergeCell ref="A22:B22"/>
    <mergeCell ref="A26:A27"/>
    <mergeCell ref="A29:A30"/>
    <mergeCell ref="A31:B31"/>
    <mergeCell ref="A32:B32"/>
    <mergeCell ref="A33:B33"/>
    <mergeCell ref="A34:B34"/>
    <mergeCell ref="A35:B35"/>
    <mergeCell ref="A5:A6"/>
    <mergeCell ref="A8:A9"/>
    <mergeCell ref="A21:B21"/>
    <mergeCell ref="A18:B18"/>
    <mergeCell ref="A10:B10"/>
    <mergeCell ref="A11:B11"/>
    <mergeCell ref="A13:B13"/>
    <mergeCell ref="A14:B14"/>
    <mergeCell ref="A16:B16"/>
    <mergeCell ref="A20:B20"/>
    <mergeCell ref="A15:B15"/>
    <mergeCell ref="A65:B65"/>
    <mergeCell ref="A66:B66"/>
    <mergeCell ref="A67:B67"/>
    <mergeCell ref="A68:B68"/>
    <mergeCell ref="A60:A61"/>
    <mergeCell ref="A62:A63"/>
    <mergeCell ref="A64:B64"/>
    <mergeCell ref="A37:B37"/>
    <mergeCell ref="A39:B39"/>
    <mergeCell ref="A41:B41"/>
    <mergeCell ref="A44:B44"/>
    <mergeCell ref="A46:B46"/>
    <mergeCell ref="A47:B47"/>
    <mergeCell ref="A56:O56"/>
    <mergeCell ref="A77:B77"/>
    <mergeCell ref="A78:B78"/>
    <mergeCell ref="A79:B79"/>
    <mergeCell ref="A80:B80"/>
    <mergeCell ref="A81:B81"/>
    <mergeCell ref="A70:A71"/>
    <mergeCell ref="A72:A73"/>
    <mergeCell ref="A74:B74"/>
    <mergeCell ref="A75:B75"/>
    <mergeCell ref="A83:F83"/>
    <mergeCell ref="H83:O83"/>
    <mergeCell ref="A84:B84"/>
    <mergeCell ref="C84:D84"/>
    <mergeCell ref="E84:F84"/>
    <mergeCell ref="H84:J84"/>
    <mergeCell ref="K84:L84"/>
    <mergeCell ref="A85:A86"/>
    <mergeCell ref="C85:D85"/>
    <mergeCell ref="E85:F85"/>
    <mergeCell ref="H85:J85"/>
    <mergeCell ref="C86:D86"/>
    <mergeCell ref="E86:F86"/>
    <mergeCell ref="N92:O92"/>
    <mergeCell ref="E96:F96"/>
    <mergeCell ref="A94:B94"/>
    <mergeCell ref="E94:F94"/>
    <mergeCell ref="A95:B95"/>
    <mergeCell ref="A92:B92"/>
    <mergeCell ref="C92:D92"/>
    <mergeCell ref="E92:F92"/>
    <mergeCell ref="C95:D95"/>
    <mergeCell ref="E95:F95"/>
    <mergeCell ref="A93:B93"/>
    <mergeCell ref="C93:D93"/>
    <mergeCell ref="E93:F93"/>
    <mergeCell ref="C103:D103"/>
    <mergeCell ref="E103:F103"/>
    <mergeCell ref="C97:D97"/>
    <mergeCell ref="E97:F97"/>
    <mergeCell ref="N98:O98"/>
    <mergeCell ref="C102:D102"/>
    <mergeCell ref="E102:F102"/>
    <mergeCell ref="C104:D104"/>
    <mergeCell ref="E104:F104"/>
    <mergeCell ref="K85:L85"/>
    <mergeCell ref="C98:D98"/>
    <mergeCell ref="E98:F98"/>
    <mergeCell ref="A36:B36"/>
    <mergeCell ref="E101:F101"/>
    <mergeCell ref="C99:D99"/>
    <mergeCell ref="E99:F99"/>
    <mergeCell ref="C96:D96"/>
    <mergeCell ref="C100:D100"/>
    <mergeCell ref="E100:F100"/>
    <mergeCell ref="E87:F87"/>
    <mergeCell ref="C101:D101"/>
    <mergeCell ref="H92:J92"/>
    <mergeCell ref="A90:B90"/>
    <mergeCell ref="C90:D90"/>
    <mergeCell ref="E90:F90"/>
    <mergeCell ref="A91:B91"/>
    <mergeCell ref="C91:D91"/>
    <mergeCell ref="E91:F91"/>
    <mergeCell ref="A88:A89"/>
    <mergeCell ref="C88:D88"/>
    <mergeCell ref="E88:F88"/>
    <mergeCell ref="C89:D89"/>
    <mergeCell ref="E89:F89"/>
  </mergeCells>
  <pageMargins left="0.25" right="0.25" top="0.75" bottom="0.75" header="0.3" footer="0.3"/>
  <pageSetup paperSize="17" scale="94" fitToHeight="0" orientation="landscape" r:id="rId1"/>
  <headerFooter alignWithMargins="0">
    <oddHeader xml:space="preserve">&amp;L&amp;"Arial,Bold"2019 ULI Hines Student Competition (Team 193737)&amp;RTeam &amp;A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9195E-67AD-4188-A985-6F4959396189}">
  <sheetPr>
    <tabColor rgb="FF0000FF"/>
  </sheetPr>
  <dimension ref="A1:AS53"/>
  <sheetViews>
    <sheetView showGridLines="0" zoomScaleNormal="100" workbookViewId="0">
      <pane xSplit="1" ySplit="2" topLeftCell="AC3" activePane="bottomRight" state="frozen"/>
      <selection activeCell="G15" sqref="G15"/>
      <selection pane="topRight" activeCell="G15" sqref="G15"/>
      <selection pane="bottomLeft" activeCell="G15" sqref="G15"/>
      <selection pane="bottomRight" activeCell="AD19" sqref="AD19"/>
    </sheetView>
    <sheetView zoomScale="70" zoomScaleNormal="70" workbookViewId="1">
      <selection activeCell="C12" sqref="C12"/>
    </sheetView>
  </sheetViews>
  <sheetFormatPr defaultColWidth="8.734375" defaultRowHeight="10.5"/>
  <cols>
    <col min="1" max="1" width="37.47265625" style="71" customWidth="1"/>
    <col min="2" max="4" width="13.734375" style="71" customWidth="1"/>
    <col min="5" max="8" width="14.15625" style="71" bestFit="1" customWidth="1"/>
    <col min="9" max="9" width="11.734375" style="71" bestFit="1" customWidth="1"/>
    <col min="10" max="10" width="17.47265625" style="71" bestFit="1" customWidth="1"/>
    <col min="11" max="13" width="14.15625" style="71" bestFit="1" customWidth="1"/>
    <col min="14" max="14" width="13" style="71" bestFit="1" customWidth="1"/>
    <col min="15" max="16" width="14.5234375" style="71" customWidth="1"/>
    <col min="17" max="17" width="14.15625" style="71" bestFit="1" customWidth="1"/>
    <col min="18" max="18" width="13" style="71" bestFit="1" customWidth="1"/>
    <col min="19" max="19" width="13.89453125" style="71" bestFit="1" customWidth="1"/>
    <col min="20" max="20" width="14" style="71" bestFit="1" customWidth="1"/>
    <col min="21" max="23" width="14" style="71" customWidth="1"/>
    <col min="24" max="25" width="13" style="71" bestFit="1" customWidth="1"/>
    <col min="26" max="27" width="11.62890625" style="71" bestFit="1" customWidth="1"/>
    <col min="28" max="28" width="10.5234375" style="71" bestFit="1" customWidth="1"/>
    <col min="29" max="29" width="17.15625" style="72" bestFit="1" customWidth="1"/>
    <col min="30" max="30" width="17.15625" style="72" customWidth="1"/>
    <col min="31" max="36" width="13.62890625" style="71" customWidth="1"/>
    <col min="37" max="37" width="9" style="71" bestFit="1" customWidth="1"/>
    <col min="38" max="38" width="8.734375" style="177"/>
    <col min="39" max="16384" width="8.734375" style="73"/>
  </cols>
  <sheetData>
    <row r="1" spans="1:39" ht="14.5" customHeight="1">
      <c r="A1" s="40"/>
      <c r="B1" s="626" t="s">
        <v>89</v>
      </c>
      <c r="C1" s="626"/>
      <c r="D1" s="626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179"/>
      <c r="AD1" s="179"/>
      <c r="AE1" s="627" t="s">
        <v>103</v>
      </c>
      <c r="AF1" s="628"/>
      <c r="AG1" s="628"/>
      <c r="AH1" s="628"/>
      <c r="AI1" s="628"/>
      <c r="AJ1" s="628"/>
      <c r="AK1" s="628"/>
      <c r="AL1" s="629"/>
    </row>
    <row r="2" spans="1:39" s="341" customFormat="1">
      <c r="A2" s="42"/>
      <c r="B2" s="343">
        <v>1</v>
      </c>
      <c r="C2" s="343">
        <v>2</v>
      </c>
      <c r="D2" s="343">
        <v>3</v>
      </c>
      <c r="E2" s="318" t="s">
        <v>0</v>
      </c>
      <c r="F2" s="67" t="s">
        <v>5</v>
      </c>
      <c r="G2" s="67" t="s">
        <v>6</v>
      </c>
      <c r="H2" s="67" t="s">
        <v>7</v>
      </c>
      <c r="I2" s="67" t="s">
        <v>8</v>
      </c>
      <c r="J2" s="67" t="s">
        <v>9</v>
      </c>
      <c r="K2" s="67" t="s">
        <v>10</v>
      </c>
      <c r="L2" s="67" t="s">
        <v>11</v>
      </c>
      <c r="M2" s="67" t="s">
        <v>26</v>
      </c>
      <c r="N2" s="67" t="s">
        <v>29</v>
      </c>
      <c r="O2" s="67" t="s">
        <v>30</v>
      </c>
      <c r="P2" s="67" t="s">
        <v>21</v>
      </c>
      <c r="Q2" s="67" t="s">
        <v>22</v>
      </c>
      <c r="R2" s="67" t="s">
        <v>32</v>
      </c>
      <c r="S2" s="67" t="s">
        <v>33</v>
      </c>
      <c r="T2" s="67" t="s">
        <v>34</v>
      </c>
      <c r="U2" s="67" t="s">
        <v>39</v>
      </c>
      <c r="V2" s="67" t="s">
        <v>40</v>
      </c>
      <c r="W2" s="67" t="s">
        <v>41</v>
      </c>
      <c r="X2" s="67" t="s">
        <v>42</v>
      </c>
      <c r="Y2" s="67" t="s">
        <v>43</v>
      </c>
      <c r="Z2" s="67" t="s">
        <v>60</v>
      </c>
      <c r="AA2" s="67" t="s">
        <v>61</v>
      </c>
      <c r="AB2" s="67" t="s">
        <v>65</v>
      </c>
      <c r="AC2" s="319">
        <f>COUNTA(E2:AB2)</f>
        <v>24</v>
      </c>
      <c r="AD2" s="319" t="s">
        <v>333</v>
      </c>
      <c r="AE2" s="303">
        <v>1</v>
      </c>
      <c r="AF2" s="304" t="s">
        <v>228</v>
      </c>
      <c r="AG2" s="305">
        <v>2</v>
      </c>
      <c r="AH2" s="304" t="s">
        <v>228</v>
      </c>
      <c r="AI2" s="305">
        <v>3</v>
      </c>
      <c r="AJ2" s="306" t="s">
        <v>228</v>
      </c>
      <c r="AK2" s="307" t="s">
        <v>201</v>
      </c>
      <c r="AL2" s="308" t="s">
        <v>228</v>
      </c>
    </row>
    <row r="3" spans="1:39">
      <c r="A3" s="46" t="s">
        <v>90</v>
      </c>
      <c r="B3" s="40"/>
      <c r="C3" s="40"/>
      <c r="D3" s="40"/>
      <c r="E3" s="182">
        <v>17</v>
      </c>
      <c r="F3" s="179">
        <f>17</f>
        <v>17</v>
      </c>
      <c r="G3" s="179">
        <f>17+3</f>
        <v>20</v>
      </c>
      <c r="H3" s="179">
        <f>3+6+11</f>
        <v>20</v>
      </c>
      <c r="I3" s="179">
        <v>12</v>
      </c>
      <c r="J3" s="179">
        <v>14</v>
      </c>
      <c r="K3" s="179">
        <v>13</v>
      </c>
      <c r="L3" s="179">
        <v>12</v>
      </c>
      <c r="M3" s="179">
        <v>15</v>
      </c>
      <c r="N3" s="183">
        <v>4</v>
      </c>
      <c r="O3" s="183">
        <v>12</v>
      </c>
      <c r="P3" s="183">
        <v>12</v>
      </c>
      <c r="Q3" s="183">
        <v>10</v>
      </c>
      <c r="R3" s="183">
        <v>6</v>
      </c>
      <c r="S3" s="183">
        <v>8</v>
      </c>
      <c r="T3" s="183">
        <v>8</v>
      </c>
      <c r="U3" s="183">
        <v>21</v>
      </c>
      <c r="V3" s="183">
        <v>21</v>
      </c>
      <c r="W3" s="183">
        <v>21</v>
      </c>
      <c r="X3" s="183">
        <v>4</v>
      </c>
      <c r="Y3" s="183">
        <v>4</v>
      </c>
      <c r="Z3" s="183">
        <v>3</v>
      </c>
      <c r="AA3" s="183">
        <v>1</v>
      </c>
      <c r="AB3" s="183">
        <v>2</v>
      </c>
      <c r="AC3" s="184">
        <f>SUM(E3:AB3)/AC2</f>
        <v>11.541666666666666</v>
      </c>
      <c r="AD3" s="181"/>
      <c r="AE3" s="92"/>
      <c r="AF3" s="286"/>
      <c r="AG3" s="180"/>
      <c r="AH3" s="286"/>
      <c r="AI3" s="180"/>
      <c r="AJ3" s="291"/>
      <c r="AK3" s="162"/>
      <c r="AL3" s="176"/>
    </row>
    <row r="4" spans="1:39">
      <c r="A4" s="46" t="s">
        <v>89</v>
      </c>
      <c r="B4" s="40"/>
      <c r="C4" s="40"/>
      <c r="D4" s="40"/>
      <c r="E4" s="182">
        <v>1</v>
      </c>
      <c r="F4" s="179">
        <v>1</v>
      </c>
      <c r="G4" s="179">
        <v>1</v>
      </c>
      <c r="H4" s="179">
        <v>1</v>
      </c>
      <c r="I4" s="179">
        <v>3</v>
      </c>
      <c r="J4" s="179">
        <v>3</v>
      </c>
      <c r="K4" s="179">
        <v>3</v>
      </c>
      <c r="L4" s="179">
        <v>3</v>
      </c>
      <c r="M4" s="179">
        <v>1</v>
      </c>
      <c r="N4" s="183">
        <v>2</v>
      </c>
      <c r="O4" s="183">
        <v>2</v>
      </c>
      <c r="P4" s="183">
        <v>2</v>
      </c>
      <c r="Q4" s="183">
        <v>2</v>
      </c>
      <c r="R4" s="183">
        <v>1</v>
      </c>
      <c r="S4" s="183">
        <v>1</v>
      </c>
      <c r="T4" s="183">
        <v>1</v>
      </c>
      <c r="U4" s="183">
        <v>2</v>
      </c>
      <c r="V4" s="183">
        <v>1</v>
      </c>
      <c r="W4" s="183">
        <v>2</v>
      </c>
      <c r="X4" s="183">
        <v>1</v>
      </c>
      <c r="Y4" s="183">
        <v>1</v>
      </c>
      <c r="Z4" s="183">
        <v>1</v>
      </c>
      <c r="AA4" s="183">
        <v>1</v>
      </c>
      <c r="AB4" s="183">
        <v>1</v>
      </c>
      <c r="AC4" s="181"/>
      <c r="AD4" s="181"/>
      <c r="AE4" s="92"/>
      <c r="AF4" s="286"/>
      <c r="AG4" s="180"/>
      <c r="AH4" s="286"/>
      <c r="AI4" s="180"/>
      <c r="AJ4" s="291"/>
      <c r="AK4" s="162"/>
      <c r="AL4" s="176"/>
    </row>
    <row r="5" spans="1:39">
      <c r="A5" s="46" t="s">
        <v>103</v>
      </c>
      <c r="B5" s="40"/>
      <c r="C5" s="40"/>
      <c r="D5" s="40"/>
      <c r="E5" s="182"/>
      <c r="F5" s="179"/>
      <c r="G5" s="179"/>
      <c r="H5" s="179"/>
      <c r="I5" s="179"/>
      <c r="J5" s="179"/>
      <c r="K5" s="179"/>
      <c r="L5" s="179"/>
      <c r="M5" s="179"/>
      <c r="N5" s="183"/>
      <c r="O5" s="183" t="s">
        <v>100</v>
      </c>
      <c r="P5" s="183" t="s">
        <v>100</v>
      </c>
      <c r="Q5" s="183" t="s">
        <v>100</v>
      </c>
      <c r="R5" s="183"/>
      <c r="S5" s="183" t="s">
        <v>100</v>
      </c>
      <c r="T5" s="183" t="s">
        <v>100</v>
      </c>
      <c r="U5" s="183"/>
      <c r="V5" s="183"/>
      <c r="W5" s="183"/>
      <c r="X5" s="183" t="s">
        <v>100</v>
      </c>
      <c r="Y5" s="183" t="s">
        <v>100</v>
      </c>
      <c r="Z5" s="183"/>
      <c r="AA5" s="183"/>
      <c r="AB5" s="183"/>
      <c r="AC5" s="181"/>
      <c r="AD5" s="181"/>
      <c r="AE5" s="92"/>
      <c r="AF5" s="286"/>
      <c r="AG5" s="180"/>
      <c r="AH5" s="286"/>
      <c r="AI5" s="180"/>
      <c r="AJ5" s="291"/>
      <c r="AK5" s="162"/>
      <c r="AL5" s="176"/>
    </row>
    <row r="6" spans="1:39">
      <c r="A6" s="46" t="s">
        <v>97</v>
      </c>
      <c r="B6" s="40"/>
      <c r="C6" s="40"/>
      <c r="D6" s="40"/>
      <c r="E6" s="182" t="s">
        <v>100</v>
      </c>
      <c r="F6" s="179"/>
      <c r="G6" s="179"/>
      <c r="H6" s="179"/>
      <c r="I6" s="179"/>
      <c r="J6" s="179"/>
      <c r="K6" s="179"/>
      <c r="L6" s="179"/>
      <c r="M6" s="179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1"/>
      <c r="AD6" s="181"/>
      <c r="AE6" s="92"/>
      <c r="AF6" s="286"/>
      <c r="AG6" s="180"/>
      <c r="AH6" s="286"/>
      <c r="AI6" s="180"/>
      <c r="AJ6" s="291"/>
      <c r="AK6" s="162"/>
      <c r="AL6" s="176"/>
    </row>
    <row r="7" spans="1:39">
      <c r="A7" s="46" t="s">
        <v>99</v>
      </c>
      <c r="B7" s="40"/>
      <c r="C7" s="40"/>
      <c r="D7" s="40"/>
      <c r="E7" s="169">
        <v>0.2</v>
      </c>
      <c r="F7" s="185">
        <v>0.15</v>
      </c>
      <c r="G7" s="185">
        <v>0.15</v>
      </c>
      <c r="H7" s="185">
        <v>0.15</v>
      </c>
      <c r="I7" s="185">
        <v>0.5</v>
      </c>
      <c r="J7" s="185">
        <v>0.5</v>
      </c>
      <c r="K7" s="185">
        <v>0</v>
      </c>
      <c r="L7" s="185">
        <v>0.15</v>
      </c>
      <c r="M7" s="185">
        <v>0.1</v>
      </c>
      <c r="N7" s="185">
        <v>0.1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0.15</v>
      </c>
      <c r="V7" s="185">
        <v>0.15</v>
      </c>
      <c r="W7" s="185">
        <v>0.15</v>
      </c>
      <c r="X7" s="185">
        <v>0</v>
      </c>
      <c r="Y7" s="185">
        <v>0</v>
      </c>
      <c r="Z7" s="185">
        <v>0</v>
      </c>
      <c r="AA7" s="185">
        <v>0</v>
      </c>
      <c r="AB7" s="185">
        <v>0.1</v>
      </c>
      <c r="AC7" s="181"/>
      <c r="AD7" s="181"/>
      <c r="AE7" s="92"/>
      <c r="AF7" s="286"/>
      <c r="AG7" s="180"/>
      <c r="AH7" s="286"/>
      <c r="AI7" s="180"/>
      <c r="AJ7" s="291"/>
      <c r="AK7" s="162"/>
      <c r="AL7" s="176"/>
    </row>
    <row r="8" spans="1:39">
      <c r="A8" s="46" t="s">
        <v>98</v>
      </c>
      <c r="B8" s="40"/>
      <c r="C8" s="40"/>
      <c r="D8" s="40"/>
      <c r="E8" s="169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5">
        <v>0</v>
      </c>
      <c r="AA8" s="185">
        <v>0</v>
      </c>
      <c r="AB8" s="185">
        <v>0</v>
      </c>
      <c r="AC8" s="181"/>
      <c r="AD8" s="181"/>
      <c r="AE8" s="92"/>
      <c r="AF8" s="286"/>
      <c r="AG8" s="180"/>
      <c r="AH8" s="286"/>
      <c r="AI8" s="180"/>
      <c r="AJ8" s="291"/>
      <c r="AK8" s="162"/>
      <c r="AL8" s="176"/>
    </row>
    <row r="9" spans="1:39">
      <c r="A9" s="46" t="s">
        <v>92</v>
      </c>
      <c r="B9" s="40"/>
      <c r="C9" s="40"/>
      <c r="D9" s="40"/>
      <c r="E9" s="169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0.2</v>
      </c>
      <c r="Q9" s="185">
        <v>1</v>
      </c>
      <c r="R9" s="185">
        <v>0</v>
      </c>
      <c r="S9" s="185">
        <v>0</v>
      </c>
      <c r="T9" s="185">
        <v>0</v>
      </c>
      <c r="U9" s="185">
        <v>0.5</v>
      </c>
      <c r="V9" s="185">
        <v>0.3</v>
      </c>
      <c r="W9" s="185">
        <v>0.2</v>
      </c>
      <c r="X9" s="185">
        <v>1</v>
      </c>
      <c r="Y9" s="185">
        <v>0</v>
      </c>
      <c r="Z9" s="185">
        <v>0</v>
      </c>
      <c r="AA9" s="185">
        <v>0</v>
      </c>
      <c r="AB9" s="185">
        <v>0</v>
      </c>
      <c r="AC9" s="181"/>
      <c r="AD9" s="181"/>
      <c r="AE9" s="92"/>
      <c r="AF9" s="286"/>
      <c r="AG9" s="180"/>
      <c r="AH9" s="286"/>
      <c r="AI9" s="180"/>
      <c r="AJ9" s="291"/>
      <c r="AK9" s="162"/>
      <c r="AL9" s="176"/>
    </row>
    <row r="10" spans="1:39">
      <c r="A10" s="46" t="s">
        <v>332</v>
      </c>
      <c r="B10" s="40"/>
      <c r="C10" s="40"/>
      <c r="D10" s="44">
        <f>SUM(B12:D12)/Residentialmarketrateaveragesize</f>
        <v>1553.5863509812734</v>
      </c>
      <c r="E10" s="182"/>
      <c r="F10" s="179"/>
      <c r="G10" s="179"/>
      <c r="H10" s="179"/>
      <c r="I10" s="179">
        <v>8189.8090000000002</v>
      </c>
      <c r="J10" s="179">
        <v>18112.6119</v>
      </c>
      <c r="K10" s="179">
        <v>26442.238300000001</v>
      </c>
      <c r="L10" s="179"/>
      <c r="M10" s="179">
        <v>10751.0437</v>
      </c>
      <c r="N10" s="179">
        <v>10655.5659</v>
      </c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92"/>
      <c r="AF10" s="286"/>
      <c r="AG10" s="180"/>
      <c r="AH10" s="286"/>
      <c r="AI10" s="180"/>
      <c r="AJ10" s="291"/>
      <c r="AK10" s="162"/>
      <c r="AL10" s="176"/>
      <c r="AM10" s="342"/>
    </row>
    <row r="11" spans="1:39">
      <c r="A11" s="320" t="s">
        <v>101</v>
      </c>
      <c r="B11" s="186">
        <f t="shared" ref="B11:D21" si="0">SUMIF($E$4:$AB$4,B$2,$E11:$AB11)</f>
        <v>875090.24819999991</v>
      </c>
      <c r="C11" s="186">
        <f t="shared" si="0"/>
        <v>524310.29079999996</v>
      </c>
      <c r="D11" s="186">
        <f t="shared" si="0"/>
        <v>310619.32770000002</v>
      </c>
      <c r="E11" s="187">
        <f>13990.7388*6</f>
        <v>83944.432799999995</v>
      </c>
      <c r="F11" s="186">
        <f>14850.8574*3+18079.9335*6</f>
        <v>153032.17319999999</v>
      </c>
      <c r="G11" s="186">
        <f>10141.7561*6+21749.9661+12346.9151*5</f>
        <v>144335.07820000002</v>
      </c>
      <c r="H11" s="186">
        <f>14451.6487*5+17411.625*6</f>
        <v>176727.99349999998</v>
      </c>
      <c r="I11" s="186">
        <f>I10*4</f>
        <v>32759.236000000001</v>
      </c>
      <c r="J11" s="350">
        <f>J10*6</f>
        <v>108675.67139999999</v>
      </c>
      <c r="K11" s="186"/>
      <c r="L11" s="186">
        <f>9758.7515*7+8512.9625*6+7759.1911*4+9379.3102*2</f>
        <v>169184.4203</v>
      </c>
      <c r="M11" s="186"/>
      <c r="N11" s="186"/>
      <c r="O11" s="186"/>
      <c r="P11" s="186">
        <f>14952.5207*6+7518.4914*5</f>
        <v>127307.58119999999</v>
      </c>
      <c r="Q11" s="186">
        <f>16722.0587*9+18291.439+21729.0653+25186.087</f>
        <v>215705.11960000001</v>
      </c>
      <c r="R11" s="186"/>
      <c r="S11" s="186">
        <f>6715.6434*3</f>
        <v>20146.930199999999</v>
      </c>
      <c r="T11" s="186">
        <f>6715.6434*3</f>
        <v>20146.930199999999</v>
      </c>
      <c r="U11" s="186">
        <f>9064.8795*10</f>
        <v>90648.794999999984</v>
      </c>
      <c r="V11" s="186">
        <f>12311.8501*4+(14950.1037*4+11524.5008*2+12311.8501*4)</f>
        <v>181344.21720000001</v>
      </c>
      <c r="W11" s="186">
        <f>9064.8795*10</f>
        <v>90648.794999999984</v>
      </c>
      <c r="X11" s="186">
        <v>75582.358800000002</v>
      </c>
      <c r="Y11" s="186">
        <v>19830.134099999999</v>
      </c>
      <c r="Z11" s="186"/>
      <c r="AA11" s="186"/>
      <c r="AB11" s="186"/>
      <c r="AC11" s="186">
        <f t="shared" ref="AC11:AC24" si="1">SUM(E11:AB11)</f>
        <v>1710019.8667000001</v>
      </c>
      <c r="AD11" s="572">
        <f t="shared" ref="AD11:AD23" si="2">AC11/$AC$26</f>
        <v>0.36028933162667959</v>
      </c>
      <c r="AE11" s="283">
        <f t="shared" ref="AE11:AE16" si="3">SUMIFS($E11:$AB11,$E$4:$AB$4,AE$2,$E$5:$AB$5,"Yes")</f>
        <v>135706.35329999999</v>
      </c>
      <c r="AF11" s="288"/>
      <c r="AG11" s="287">
        <f t="shared" ref="AG11:AG24" si="4">SUMIFS($E11:$AB11,$E$4:$AB$4,AG$2,$E$5:$AB$5,"Yes")</f>
        <v>343012.70079999999</v>
      </c>
      <c r="AH11" s="288"/>
      <c r="AI11" s="287">
        <f t="shared" ref="AI11:AI24" si="5">SUMIFS($E11:$AB11,$E$4:$AB$4,AI$2,$E$5:$AB$5,"Yes")</f>
        <v>0</v>
      </c>
      <c r="AJ11" s="292"/>
      <c r="AK11" s="284">
        <f t="shared" ref="AK11:AK24" si="6">SUMIF($E$5:$AB$5,"Yes",$E11:$AB11)</f>
        <v>478719.05410000001</v>
      </c>
      <c r="AL11" s="285">
        <f t="shared" ref="AL11:AL20" si="7">AK11/AC11</f>
        <v>0.27994941077721691</v>
      </c>
      <c r="AM11" s="342">
        <f>AC11/$AC$26</f>
        <v>0.36028933162667959</v>
      </c>
    </row>
    <row r="12" spans="1:39">
      <c r="A12" s="321" t="s">
        <v>165</v>
      </c>
      <c r="B12" s="186">
        <f t="shared" si="0"/>
        <v>629999.81836500007</v>
      </c>
      <c r="C12" s="186">
        <f t="shared" si="0"/>
        <v>192494.85995999997</v>
      </c>
      <c r="D12" s="186">
        <f t="shared" si="0"/>
        <v>214524.21095500002</v>
      </c>
      <c r="E12" s="187">
        <f t="shared" ref="E12:AB12" si="8">E11-E13-E14</f>
        <v>67155.546239999996</v>
      </c>
      <c r="F12" s="186">
        <f t="shared" si="8"/>
        <v>130077.34722</v>
      </c>
      <c r="G12" s="186">
        <f t="shared" si="8"/>
        <v>122684.81647000002</v>
      </c>
      <c r="H12" s="186">
        <f t="shared" si="8"/>
        <v>150218.79447499997</v>
      </c>
      <c r="I12" s="186">
        <f t="shared" si="8"/>
        <v>16379.618</v>
      </c>
      <c r="J12" s="186">
        <f t="shared" si="8"/>
        <v>54337.835699999996</v>
      </c>
      <c r="K12" s="186">
        <f t="shared" si="8"/>
        <v>0</v>
      </c>
      <c r="L12" s="186">
        <f t="shared" si="8"/>
        <v>143806.757255</v>
      </c>
      <c r="M12" s="186">
        <f t="shared" si="8"/>
        <v>0</v>
      </c>
      <c r="N12" s="186">
        <f t="shared" si="8"/>
        <v>0</v>
      </c>
      <c r="O12" s="186">
        <f t="shared" si="8"/>
        <v>0</v>
      </c>
      <c r="P12" s="186">
        <f t="shared" si="8"/>
        <v>101846.06495999999</v>
      </c>
      <c r="Q12" s="186">
        <f t="shared" si="8"/>
        <v>0</v>
      </c>
      <c r="R12" s="186">
        <f t="shared" si="8"/>
        <v>0</v>
      </c>
      <c r="S12" s="186">
        <f t="shared" si="8"/>
        <v>20146.930199999999</v>
      </c>
      <c r="T12" s="186">
        <f t="shared" si="8"/>
        <v>20146.930199999999</v>
      </c>
      <c r="U12" s="186">
        <f t="shared" ref="U12" si="9">U11-U13-U14</f>
        <v>31727.078249999995</v>
      </c>
      <c r="V12" s="186">
        <f t="shared" ref="V12" si="10">V11-V13-V14</f>
        <v>99739.319459999999</v>
      </c>
      <c r="W12" s="186">
        <f t="shared" ref="W12" si="11">W11-W13-W14</f>
        <v>58921.716749999992</v>
      </c>
      <c r="X12" s="186">
        <f t="shared" si="8"/>
        <v>0</v>
      </c>
      <c r="Y12" s="186">
        <f t="shared" si="8"/>
        <v>19830.134099999999</v>
      </c>
      <c r="Z12" s="186">
        <f t="shared" si="8"/>
        <v>0</v>
      </c>
      <c r="AA12" s="186">
        <f t="shared" si="8"/>
        <v>0</v>
      </c>
      <c r="AB12" s="186">
        <f t="shared" si="8"/>
        <v>0</v>
      </c>
      <c r="AC12" s="186">
        <f t="shared" si="1"/>
        <v>1037018.88928</v>
      </c>
      <c r="AD12" s="572">
        <f t="shared" si="2"/>
        <v>0.21849269109601555</v>
      </c>
      <c r="AE12" s="188">
        <f t="shared" si="3"/>
        <v>60123.994500000001</v>
      </c>
      <c r="AF12" s="289">
        <f t="shared" ref="AF12:AF21" si="12">AE12/B12</f>
        <v>9.5434939419563838E-2</v>
      </c>
      <c r="AG12" s="187">
        <f t="shared" si="4"/>
        <v>101846.06495999999</v>
      </c>
      <c r="AH12" s="289">
        <f>AG12/C12</f>
        <v>0.5290845946804158</v>
      </c>
      <c r="AI12" s="187">
        <f t="shared" si="5"/>
        <v>0</v>
      </c>
      <c r="AJ12" s="289">
        <f>AI12/D12</f>
        <v>0</v>
      </c>
      <c r="AK12" s="163">
        <f t="shared" si="6"/>
        <v>161970.05945999999</v>
      </c>
      <c r="AL12" s="164">
        <f t="shared" si="7"/>
        <v>0.15618814771296544</v>
      </c>
      <c r="AM12" s="385">
        <f>AC12/AC11</f>
        <v>0.60643674934680214</v>
      </c>
    </row>
    <row r="13" spans="1:39">
      <c r="A13" s="321" t="s">
        <v>157</v>
      </c>
      <c r="B13" s="186">
        <f t="shared" si="0"/>
        <v>129985.62396</v>
      </c>
      <c r="C13" s="186">
        <f t="shared" si="0"/>
        <v>304620.79233999999</v>
      </c>
      <c r="D13" s="186">
        <f t="shared" si="0"/>
        <v>0</v>
      </c>
      <c r="E13" s="187">
        <f t="shared" ref="E13:AB13" si="13">E11*E9</f>
        <v>0</v>
      </c>
      <c r="F13" s="186">
        <f t="shared" si="13"/>
        <v>0</v>
      </c>
      <c r="G13" s="186">
        <f t="shared" si="13"/>
        <v>0</v>
      </c>
      <c r="H13" s="186">
        <f t="shared" si="13"/>
        <v>0</v>
      </c>
      <c r="I13" s="186">
        <f t="shared" si="13"/>
        <v>0</v>
      </c>
      <c r="J13" s="186">
        <f t="shared" si="13"/>
        <v>0</v>
      </c>
      <c r="K13" s="186">
        <f t="shared" si="13"/>
        <v>0</v>
      </c>
      <c r="L13" s="186">
        <f t="shared" si="13"/>
        <v>0</v>
      </c>
      <c r="M13" s="186">
        <f t="shared" si="13"/>
        <v>0</v>
      </c>
      <c r="N13" s="186">
        <f t="shared" si="13"/>
        <v>0</v>
      </c>
      <c r="O13" s="186">
        <f t="shared" si="13"/>
        <v>0</v>
      </c>
      <c r="P13" s="186">
        <f t="shared" si="13"/>
        <v>25461.516239999997</v>
      </c>
      <c r="Q13" s="186">
        <f t="shared" si="13"/>
        <v>215705.11960000001</v>
      </c>
      <c r="R13" s="186">
        <f t="shared" si="13"/>
        <v>0</v>
      </c>
      <c r="S13" s="186">
        <f t="shared" si="13"/>
        <v>0</v>
      </c>
      <c r="T13" s="186">
        <f t="shared" si="13"/>
        <v>0</v>
      </c>
      <c r="U13" s="186">
        <f t="shared" ref="U13:W13" si="14">U11*U9</f>
        <v>45324.397499999992</v>
      </c>
      <c r="V13" s="186">
        <f t="shared" si="14"/>
        <v>54403.265160000003</v>
      </c>
      <c r="W13" s="186">
        <f t="shared" si="14"/>
        <v>18129.758999999998</v>
      </c>
      <c r="X13" s="186">
        <f t="shared" si="13"/>
        <v>75582.358800000002</v>
      </c>
      <c r="Y13" s="186">
        <f t="shared" si="13"/>
        <v>0</v>
      </c>
      <c r="Z13" s="186">
        <f t="shared" si="13"/>
        <v>0</v>
      </c>
      <c r="AA13" s="186">
        <f t="shared" si="13"/>
        <v>0</v>
      </c>
      <c r="AB13" s="186">
        <f t="shared" si="13"/>
        <v>0</v>
      </c>
      <c r="AC13" s="186">
        <f t="shared" si="1"/>
        <v>434606.41629999998</v>
      </c>
      <c r="AD13" s="572">
        <f t="shared" si="2"/>
        <v>9.1568559113625783E-2</v>
      </c>
      <c r="AE13" s="188">
        <f t="shared" si="3"/>
        <v>75582.358800000002</v>
      </c>
      <c r="AF13" s="289">
        <f t="shared" si="12"/>
        <v>0.58146706149026672</v>
      </c>
      <c r="AG13" s="187">
        <f t="shared" si="4"/>
        <v>241166.63584</v>
      </c>
      <c r="AH13" s="289">
        <f>AG13/C13</f>
        <v>0.791694598347784</v>
      </c>
      <c r="AI13" s="187">
        <f t="shared" si="5"/>
        <v>0</v>
      </c>
      <c r="AJ13" s="289" t="e">
        <f>AI13/D13</f>
        <v>#DIV/0!</v>
      </c>
      <c r="AK13" s="163">
        <f t="shared" si="6"/>
        <v>316748.99463999999</v>
      </c>
      <c r="AL13" s="164">
        <f t="shared" si="7"/>
        <v>0.72881803572212933</v>
      </c>
      <c r="AM13" s="385">
        <f>AC13/AC11</f>
        <v>0.25415284626997015</v>
      </c>
    </row>
    <row r="14" spans="1:39">
      <c r="A14" s="321" t="s">
        <v>141</v>
      </c>
      <c r="B14" s="186">
        <f t="shared" si="0"/>
        <v>115104.80587499999</v>
      </c>
      <c r="C14" s="186">
        <f t="shared" si="0"/>
        <v>27194.638499999994</v>
      </c>
      <c r="D14" s="186">
        <f t="shared" si="0"/>
        <v>96095.116744999992</v>
      </c>
      <c r="E14" s="187">
        <f t="shared" ref="E14:AB14" si="15">E11*E7</f>
        <v>16788.886559999999</v>
      </c>
      <c r="F14" s="186">
        <f t="shared" si="15"/>
        <v>22954.825979999998</v>
      </c>
      <c r="G14" s="186">
        <f t="shared" si="15"/>
        <v>21650.261730000002</v>
      </c>
      <c r="H14" s="186">
        <f t="shared" si="15"/>
        <v>26509.199024999998</v>
      </c>
      <c r="I14" s="186">
        <f t="shared" si="15"/>
        <v>16379.618</v>
      </c>
      <c r="J14" s="186">
        <f t="shared" si="15"/>
        <v>54337.835699999996</v>
      </c>
      <c r="K14" s="186">
        <f t="shared" si="15"/>
        <v>0</v>
      </c>
      <c r="L14" s="186">
        <f t="shared" si="15"/>
        <v>25377.663044999998</v>
      </c>
      <c r="M14" s="186">
        <f t="shared" si="15"/>
        <v>0</v>
      </c>
      <c r="N14" s="186">
        <f t="shared" si="15"/>
        <v>0</v>
      </c>
      <c r="O14" s="186">
        <f t="shared" si="15"/>
        <v>0</v>
      </c>
      <c r="P14" s="186">
        <f t="shared" si="15"/>
        <v>0</v>
      </c>
      <c r="Q14" s="186">
        <f t="shared" si="15"/>
        <v>0</v>
      </c>
      <c r="R14" s="186">
        <f t="shared" si="15"/>
        <v>0</v>
      </c>
      <c r="S14" s="186">
        <f t="shared" si="15"/>
        <v>0</v>
      </c>
      <c r="T14" s="186">
        <f t="shared" si="15"/>
        <v>0</v>
      </c>
      <c r="U14" s="186">
        <f t="shared" ref="U14:W14" si="16">U11*U7</f>
        <v>13597.319249999997</v>
      </c>
      <c r="V14" s="186">
        <f t="shared" si="16"/>
        <v>27201.632580000001</v>
      </c>
      <c r="W14" s="186">
        <f t="shared" si="16"/>
        <v>13597.319249999997</v>
      </c>
      <c r="X14" s="186">
        <f t="shared" si="15"/>
        <v>0</v>
      </c>
      <c r="Y14" s="186">
        <f t="shared" si="15"/>
        <v>0</v>
      </c>
      <c r="Z14" s="186">
        <f t="shared" si="15"/>
        <v>0</v>
      </c>
      <c r="AA14" s="186">
        <f t="shared" si="15"/>
        <v>0</v>
      </c>
      <c r="AB14" s="186">
        <f t="shared" si="15"/>
        <v>0</v>
      </c>
      <c r="AC14" s="186">
        <f t="shared" si="1"/>
        <v>238394.56112</v>
      </c>
      <c r="AD14" s="572">
        <f t="shared" si="2"/>
        <v>5.0228081417038196E-2</v>
      </c>
      <c r="AE14" s="188">
        <f t="shared" si="3"/>
        <v>0</v>
      </c>
      <c r="AF14" s="290">
        <f t="shared" si="12"/>
        <v>0</v>
      </c>
      <c r="AG14" s="187">
        <f t="shared" si="4"/>
        <v>0</v>
      </c>
      <c r="AH14" s="290"/>
      <c r="AI14" s="187">
        <f t="shared" si="5"/>
        <v>0</v>
      </c>
      <c r="AJ14" s="289">
        <f>AI14/D14</f>
        <v>0</v>
      </c>
      <c r="AK14" s="163">
        <f t="shared" si="6"/>
        <v>0</v>
      </c>
      <c r="AL14" s="164">
        <f t="shared" si="7"/>
        <v>0</v>
      </c>
      <c r="AM14" s="385">
        <f>AC14/AC11</f>
        <v>0.1394104043832276</v>
      </c>
    </row>
    <row r="15" spans="1:39">
      <c r="A15" s="322" t="s">
        <v>2</v>
      </c>
      <c r="B15" s="189">
        <f t="shared" si="0"/>
        <v>603709.09349999984</v>
      </c>
      <c r="C15" s="189">
        <f t="shared" si="0"/>
        <v>365869.38950000005</v>
      </c>
      <c r="D15" s="189">
        <f t="shared" si="0"/>
        <v>675468.81660000002</v>
      </c>
      <c r="E15" s="190">
        <f>16988.7542*5+19986.7697*4</f>
        <v>164890.8498</v>
      </c>
      <c r="F15" s="189">
        <f>22599.9169*5</f>
        <v>112999.5845</v>
      </c>
      <c r="G15" s="189">
        <f>27186.7402+15433.6439*4</f>
        <v>88921.315799999997</v>
      </c>
      <c r="H15" s="189">
        <f>20977.8614*6</f>
        <v>125867.16840000001</v>
      </c>
      <c r="I15" s="189">
        <f>I10*7+(2980.5264*2)</f>
        <v>63289.715799999998</v>
      </c>
      <c r="J15" s="349">
        <f>J10*7</f>
        <v>126788.2833</v>
      </c>
      <c r="K15" s="189">
        <f>K10*13</f>
        <v>343749.09789999999</v>
      </c>
      <c r="L15" s="189">
        <f>12763.4768*4+22646.9531*4</f>
        <v>141641.71960000001</v>
      </c>
      <c r="M15" s="189"/>
      <c r="N15" s="189"/>
      <c r="O15" s="189">
        <f>5110.5301*2+10732.1133*4+13144.8582*4+3934.5563+7887.9985+11548.5767*3</f>
        <v>152197.2311</v>
      </c>
      <c r="P15" s="189"/>
      <c r="Q15" s="189"/>
      <c r="R15" s="189"/>
      <c r="S15" s="189">
        <f>6715.6434*4</f>
        <v>26862.5736</v>
      </c>
      <c r="T15" s="189">
        <f>6715.6434*4</f>
        <v>26862.5736</v>
      </c>
      <c r="U15" s="189">
        <f>11007.3536*5+12949.8278*4</f>
        <v>106836.07920000001</v>
      </c>
      <c r="V15" s="189">
        <f>12311*3</f>
        <v>36933</v>
      </c>
      <c r="W15" s="189">
        <f>11007.3536*5+12949.8278*4</f>
        <v>106836.07920000001</v>
      </c>
      <c r="X15" s="189">
        <v>10933.486999999999</v>
      </c>
      <c r="Y15" s="189">
        <v>9438.5408000000007</v>
      </c>
      <c r="Z15" s="189"/>
      <c r="AA15" s="189"/>
      <c r="AB15" s="189"/>
      <c r="AC15" s="189">
        <f t="shared" si="1"/>
        <v>1645047.2996</v>
      </c>
      <c r="AD15" s="572">
        <f t="shared" si="2"/>
        <v>0.34660006214485584</v>
      </c>
      <c r="AE15" s="283">
        <f t="shared" si="3"/>
        <v>74097.175000000003</v>
      </c>
      <c r="AF15" s="288">
        <f t="shared" si="12"/>
        <v>0.12273655606282502</v>
      </c>
      <c r="AG15" s="287">
        <f t="shared" si="4"/>
        <v>152197.2311</v>
      </c>
      <c r="AH15" s="288">
        <f>AG15/C15</f>
        <v>0.41598787837373857</v>
      </c>
      <c r="AI15" s="287">
        <f t="shared" si="5"/>
        <v>0</v>
      </c>
      <c r="AJ15" s="288">
        <f>AI15/E15</f>
        <v>0</v>
      </c>
      <c r="AK15" s="284">
        <f t="shared" si="6"/>
        <v>226294.40609999999</v>
      </c>
      <c r="AL15" s="285">
        <f t="shared" si="7"/>
        <v>0.13756103314173665</v>
      </c>
      <c r="AM15" s="342">
        <f>AC15/$AC$26</f>
        <v>0.34660006214485584</v>
      </c>
    </row>
    <row r="16" spans="1:39">
      <c r="A16" s="194" t="s">
        <v>142</v>
      </c>
      <c r="B16" s="191">
        <f t="shared" si="0"/>
        <v>410700.43999999994</v>
      </c>
      <c r="C16" s="191">
        <f t="shared" si="0"/>
        <v>230901.69770000002</v>
      </c>
      <c r="D16" s="191">
        <f t="shared" si="0"/>
        <v>61712.8508</v>
      </c>
      <c r="E16" s="192">
        <f>19986.7697*2</f>
        <v>39973.539400000001</v>
      </c>
      <c r="F16" s="191">
        <f>22599.9169*3</f>
        <v>67799.750700000004</v>
      </c>
      <c r="G16" s="302">
        <f>10419.5349*3</f>
        <v>31258.604700000004</v>
      </c>
      <c r="H16" s="302">
        <f>15013.8327*3</f>
        <v>45041.498100000004</v>
      </c>
      <c r="I16" s="351">
        <f>I10*1</f>
        <v>8189.8090000000002</v>
      </c>
      <c r="J16" s="351">
        <f>J10*1</f>
        <v>18112.6119</v>
      </c>
      <c r="K16" s="191"/>
      <c r="L16" s="191">
        <f>22646.9531+12763.4768</f>
        <v>35410.429900000003</v>
      </c>
      <c r="M16" s="191">
        <f>M10*2</f>
        <v>21502.0874</v>
      </c>
      <c r="N16" s="191"/>
      <c r="O16" s="191">
        <f>21357.4033*2+13144.8582*2</f>
        <v>69004.523000000001</v>
      </c>
      <c r="P16" s="191">
        <f>11685.2545+25511.2177</f>
        <v>37196.472200000004</v>
      </c>
      <c r="Q16" s="191">
        <f>16722.0587+25186.087+15496.6228*2</f>
        <v>72901.391300000003</v>
      </c>
      <c r="R16" s="191"/>
      <c r="S16" s="191">
        <f>6715.6434</f>
        <v>6715.6433999999999</v>
      </c>
      <c r="T16" s="191">
        <f>6715.6434</f>
        <v>6715.6433999999999</v>
      </c>
      <c r="U16" s="191">
        <f>12949.8278*2</f>
        <v>25899.655599999998</v>
      </c>
      <c r="V16" s="191">
        <f>12311.8501*2</f>
        <v>24623.700199999999</v>
      </c>
      <c r="W16" s="191">
        <f>12949.8278*2</f>
        <v>25899.655599999998</v>
      </c>
      <c r="X16" s="191">
        <v>74194.093900000007</v>
      </c>
      <c r="Y16" s="191">
        <v>38298.002699999997</v>
      </c>
      <c r="Z16" s="191">
        <v>24332.021800000002</v>
      </c>
      <c r="AA16" s="191">
        <v>3701.5216</v>
      </c>
      <c r="AB16" s="191">
        <v>26544.332699999999</v>
      </c>
      <c r="AC16" s="191">
        <f t="shared" si="1"/>
        <v>703314.98849999998</v>
      </c>
      <c r="AD16" s="572">
        <f t="shared" si="2"/>
        <v>0.14818359252088495</v>
      </c>
      <c r="AE16" s="283">
        <f t="shared" si="3"/>
        <v>125923.38340000001</v>
      </c>
      <c r="AF16" s="288">
        <f t="shared" si="12"/>
        <v>0.30660640003210132</v>
      </c>
      <c r="AG16" s="287">
        <f t="shared" si="4"/>
        <v>179102.38650000002</v>
      </c>
      <c r="AH16" s="288">
        <f>AG16/C16</f>
        <v>0.77566509161270669</v>
      </c>
      <c r="AI16" s="287">
        <f t="shared" si="5"/>
        <v>0</v>
      </c>
      <c r="AJ16" s="288">
        <f>AI16/E16</f>
        <v>0</v>
      </c>
      <c r="AK16" s="284">
        <f t="shared" si="6"/>
        <v>305025.76990000001</v>
      </c>
      <c r="AL16" s="285">
        <f t="shared" si="7"/>
        <v>0.43369724076341082</v>
      </c>
      <c r="AM16" s="342"/>
    </row>
    <row r="17" spans="1:40">
      <c r="A17" s="323" t="s">
        <v>166</v>
      </c>
      <c r="B17" s="191">
        <f t="shared" si="0"/>
        <v>342900.68929999997</v>
      </c>
      <c r="C17" s="191">
        <f t="shared" si="0"/>
        <v>188187.69770000002</v>
      </c>
      <c r="D17" s="191">
        <f t="shared" si="0"/>
        <v>61712.8508</v>
      </c>
      <c r="E17" s="192">
        <f>E16-E18-E19</f>
        <v>39973.539400000001</v>
      </c>
      <c r="F17" s="191">
        <f t="shared" ref="F17:AB17" si="17">F16-F18-F19</f>
        <v>0</v>
      </c>
      <c r="G17" s="191">
        <f t="shared" si="17"/>
        <v>31258.604700000004</v>
      </c>
      <c r="H17" s="191">
        <f t="shared" si="17"/>
        <v>45041.498100000004</v>
      </c>
      <c r="I17" s="191">
        <f t="shared" si="17"/>
        <v>8189.8090000000002</v>
      </c>
      <c r="J17" s="191">
        <f t="shared" si="17"/>
        <v>18112.6119</v>
      </c>
      <c r="K17" s="191">
        <f t="shared" si="17"/>
        <v>0</v>
      </c>
      <c r="L17" s="191">
        <f t="shared" si="17"/>
        <v>35410.429900000003</v>
      </c>
      <c r="M17" s="191">
        <f t="shared" si="17"/>
        <v>21502.0874</v>
      </c>
      <c r="N17" s="191">
        <f t="shared" si="17"/>
        <v>0</v>
      </c>
      <c r="O17" s="191">
        <f t="shared" si="17"/>
        <v>26290.523000000001</v>
      </c>
      <c r="P17" s="191">
        <f t="shared" si="17"/>
        <v>37196.472200000004</v>
      </c>
      <c r="Q17" s="191">
        <f t="shared" si="17"/>
        <v>72901.391300000003</v>
      </c>
      <c r="R17" s="191">
        <f t="shared" si="17"/>
        <v>0</v>
      </c>
      <c r="S17" s="191">
        <f t="shared" si="17"/>
        <v>6715.6433999999999</v>
      </c>
      <c r="T17" s="191">
        <f t="shared" si="17"/>
        <v>6715.6433999999999</v>
      </c>
      <c r="U17" s="191">
        <f t="shared" ref="U17:W17" si="18">U16-U18-U19</f>
        <v>25899.655599999998</v>
      </c>
      <c r="V17" s="191">
        <f t="shared" si="18"/>
        <v>24623.700199999999</v>
      </c>
      <c r="W17" s="191">
        <f t="shared" si="18"/>
        <v>25899.655599999998</v>
      </c>
      <c r="X17" s="191">
        <f t="shared" si="17"/>
        <v>74194.093900000007</v>
      </c>
      <c r="Y17" s="191">
        <f t="shared" si="17"/>
        <v>38298.002699999997</v>
      </c>
      <c r="Z17" s="191">
        <f t="shared" si="17"/>
        <v>24332.021800000002</v>
      </c>
      <c r="AA17" s="191">
        <f t="shared" si="17"/>
        <v>3701.5216</v>
      </c>
      <c r="AB17" s="191">
        <f t="shared" si="17"/>
        <v>26544.332699999999</v>
      </c>
      <c r="AC17" s="191">
        <f t="shared" si="1"/>
        <v>592801.2378</v>
      </c>
      <c r="AD17" s="572">
        <f t="shared" si="2"/>
        <v>0.1248991113574589</v>
      </c>
      <c r="AE17" s="188"/>
      <c r="AF17" s="289">
        <f t="shared" si="12"/>
        <v>0</v>
      </c>
      <c r="AG17" s="187">
        <f t="shared" si="4"/>
        <v>136388.38650000002</v>
      </c>
      <c r="AH17" s="289"/>
      <c r="AI17" s="187">
        <f t="shared" si="5"/>
        <v>0</v>
      </c>
      <c r="AJ17" s="289">
        <f>AI17/D17</f>
        <v>0</v>
      </c>
      <c r="AK17" s="163">
        <f t="shared" si="6"/>
        <v>262311.76990000001</v>
      </c>
      <c r="AL17" s="164">
        <f t="shared" si="7"/>
        <v>0.44249531406764553</v>
      </c>
      <c r="AM17" s="342"/>
    </row>
    <row r="18" spans="1:40">
      <c r="A18" s="323" t="s">
        <v>143</v>
      </c>
      <c r="B18" s="191">
        <f t="shared" si="0"/>
        <v>67799.750700000004</v>
      </c>
      <c r="C18" s="191">
        <f t="shared" si="0"/>
        <v>0</v>
      </c>
      <c r="D18" s="191">
        <f t="shared" si="0"/>
        <v>0</v>
      </c>
      <c r="E18" s="192"/>
      <c r="F18" s="191">
        <f>F16</f>
        <v>67799.750700000004</v>
      </c>
      <c r="G18" s="193"/>
      <c r="H18" s="193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>
        <f t="shared" si="1"/>
        <v>67799.750700000004</v>
      </c>
      <c r="AD18" s="572">
        <f t="shared" si="2"/>
        <v>1.4284937467597259E-2</v>
      </c>
      <c r="AE18" s="188"/>
      <c r="AF18" s="289">
        <f t="shared" si="12"/>
        <v>0</v>
      </c>
      <c r="AG18" s="187">
        <f t="shared" si="4"/>
        <v>0</v>
      </c>
      <c r="AH18" s="289"/>
      <c r="AI18" s="187">
        <f t="shared" si="5"/>
        <v>0</v>
      </c>
      <c r="AJ18" s="289" t="e">
        <f>AI18/D18</f>
        <v>#DIV/0!</v>
      </c>
      <c r="AK18" s="163">
        <f t="shared" si="6"/>
        <v>0</v>
      </c>
      <c r="AL18" s="164">
        <f t="shared" si="7"/>
        <v>0</v>
      </c>
      <c r="AM18" s="342"/>
    </row>
    <row r="19" spans="1:40">
      <c r="A19" s="323" t="s">
        <v>144</v>
      </c>
      <c r="B19" s="191">
        <f t="shared" si="0"/>
        <v>0</v>
      </c>
      <c r="C19" s="191">
        <f t="shared" si="0"/>
        <v>42714</v>
      </c>
      <c r="D19" s="191">
        <f t="shared" si="0"/>
        <v>0</v>
      </c>
      <c r="E19" s="192"/>
      <c r="F19" s="191"/>
      <c r="G19" s="193"/>
      <c r="H19" s="193"/>
      <c r="I19" s="191"/>
      <c r="J19" s="191"/>
      <c r="K19" s="191"/>
      <c r="L19" s="191"/>
      <c r="M19" s="191"/>
      <c r="N19" s="191"/>
      <c r="O19" s="191">
        <f>42714</f>
        <v>42714</v>
      </c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>
        <f t="shared" si="1"/>
        <v>42714</v>
      </c>
      <c r="AD19" s="572">
        <f t="shared" si="2"/>
        <v>8.9995436958287996E-3</v>
      </c>
      <c r="AE19" s="188"/>
      <c r="AF19" s="289" t="e">
        <f t="shared" si="12"/>
        <v>#DIV/0!</v>
      </c>
      <c r="AG19" s="187">
        <f t="shared" si="4"/>
        <v>42714</v>
      </c>
      <c r="AH19" s="289"/>
      <c r="AI19" s="187">
        <f t="shared" si="5"/>
        <v>0</v>
      </c>
      <c r="AJ19" s="289" t="e">
        <f>AI19/D19</f>
        <v>#DIV/0!</v>
      </c>
      <c r="AK19" s="163">
        <f t="shared" si="6"/>
        <v>42714</v>
      </c>
      <c r="AL19" s="164">
        <f t="shared" si="7"/>
        <v>1</v>
      </c>
      <c r="AM19" s="342"/>
    </row>
    <row r="20" spans="1:40">
      <c r="A20" s="324" t="s">
        <v>18</v>
      </c>
      <c r="B20" s="195">
        <f t="shared" si="0"/>
        <v>139763.5681</v>
      </c>
      <c r="C20" s="195">
        <f t="shared" si="0"/>
        <v>223220.08420000001</v>
      </c>
      <c r="D20" s="195">
        <f t="shared" si="0"/>
        <v>0</v>
      </c>
      <c r="E20" s="196"/>
      <c r="F20" s="195"/>
      <c r="G20" s="195"/>
      <c r="H20" s="195"/>
      <c r="I20" s="195"/>
      <c r="J20" s="195"/>
      <c r="K20" s="195"/>
      <c r="L20" s="195"/>
      <c r="M20" s="195">
        <f>M10*13</f>
        <v>139763.5681</v>
      </c>
      <c r="N20" s="195"/>
      <c r="O20" s="195"/>
      <c r="P20" s="195">
        <f>25511.2177*5+12412.5744*3+11685.2545*5</f>
        <v>223220.08420000001</v>
      </c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>
        <f t="shared" si="1"/>
        <v>362983.65230000002</v>
      </c>
      <c r="AD20" s="572">
        <f t="shared" si="2"/>
        <v>7.6478139245806487E-2</v>
      </c>
      <c r="AE20" s="283">
        <f>SUMIFS($E20:$AB20,$E$4:$AB$4,AE$2,$E$5:$AB$5,"Yes")</f>
        <v>0</v>
      </c>
      <c r="AF20" s="288">
        <f t="shared" si="12"/>
        <v>0</v>
      </c>
      <c r="AG20" s="287">
        <f t="shared" si="4"/>
        <v>223220.08420000001</v>
      </c>
      <c r="AH20" s="288">
        <f>AG20/C20</f>
        <v>1</v>
      </c>
      <c r="AI20" s="287">
        <f t="shared" si="5"/>
        <v>0</v>
      </c>
      <c r="AJ20" s="288" t="e">
        <f>AI20/E20</f>
        <v>#DIV/0!</v>
      </c>
      <c r="AK20" s="284">
        <f t="shared" si="6"/>
        <v>223220.08420000001</v>
      </c>
      <c r="AL20" s="285">
        <f t="shared" si="7"/>
        <v>0.61495905610512813</v>
      </c>
      <c r="AM20" s="342">
        <f>AC20/$AC$26</f>
        <v>7.6478139245806487E-2</v>
      </c>
    </row>
    <row r="21" spans="1:40">
      <c r="A21" s="325" t="s">
        <v>131</v>
      </c>
      <c r="B21" s="197">
        <f t="shared" si="0"/>
        <v>0</v>
      </c>
      <c r="C21" s="197">
        <f t="shared" si="0"/>
        <v>67655.565900000001</v>
      </c>
      <c r="D21" s="197">
        <f t="shared" si="0"/>
        <v>113150</v>
      </c>
      <c r="E21" s="198"/>
      <c r="F21" s="197"/>
      <c r="G21" s="197"/>
      <c r="H21" s="197"/>
      <c r="I21" s="197"/>
      <c r="J21" s="197">
        <f>400*100</f>
        <v>40000</v>
      </c>
      <c r="K21" s="197"/>
      <c r="L21" s="197">
        <f>385*190</f>
        <v>73150</v>
      </c>
      <c r="M21" s="197"/>
      <c r="N21" s="197">
        <f>N10*1</f>
        <v>10655.5659</v>
      </c>
      <c r="O21" s="197">
        <v>0</v>
      </c>
      <c r="P21" s="197">
        <f>300*190</f>
        <v>57000</v>
      </c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>
        <f t="shared" si="1"/>
        <v>180805.56589999999</v>
      </c>
      <c r="AD21" s="572">
        <f t="shared" si="2"/>
        <v>3.8094479345556577E-2</v>
      </c>
      <c r="AE21" s="188">
        <f>SUMIFS($E21:$AB21,$E$4:$AB$4,AE$2,$E$5:$AB$5,"Yes")</f>
        <v>0</v>
      </c>
      <c r="AF21" s="289" t="e">
        <f t="shared" si="12"/>
        <v>#DIV/0!</v>
      </c>
      <c r="AG21" s="187">
        <f t="shared" si="4"/>
        <v>57000</v>
      </c>
      <c r="AH21" s="289"/>
      <c r="AI21" s="187">
        <f t="shared" si="5"/>
        <v>0</v>
      </c>
      <c r="AJ21" s="289">
        <f>AI21/D21</f>
        <v>0</v>
      </c>
      <c r="AK21" s="163">
        <f t="shared" si="6"/>
        <v>57000</v>
      </c>
      <c r="AL21" s="164"/>
      <c r="AM21" s="342">
        <f>AC21/$AC$26</f>
        <v>3.8094479345556577E-2</v>
      </c>
    </row>
    <row r="22" spans="1:40">
      <c r="A22" s="326" t="s">
        <v>286</v>
      </c>
      <c r="B22" s="254">
        <f t="shared" ref="B22:D22" si="19">SUM(B23:B24)</f>
        <v>101447</v>
      </c>
      <c r="C22" s="254">
        <f t="shared" si="19"/>
        <v>42622.263599999998</v>
      </c>
      <c r="D22" s="254">
        <f t="shared" si="19"/>
        <v>0</v>
      </c>
      <c r="E22" s="255">
        <f>SUM(E23:E24)</f>
        <v>0</v>
      </c>
      <c r="F22" s="254">
        <f>SUM(F23:F24)</f>
        <v>0</v>
      </c>
      <c r="G22" s="254">
        <f t="shared" ref="G22:AB22" si="20">SUM(G23:G24)</f>
        <v>0</v>
      </c>
      <c r="H22" s="254">
        <f t="shared" si="20"/>
        <v>0</v>
      </c>
      <c r="I22" s="254">
        <f t="shared" si="20"/>
        <v>0</v>
      </c>
      <c r="J22" s="254">
        <f t="shared" si="20"/>
        <v>0</v>
      </c>
      <c r="K22" s="254">
        <f t="shared" si="20"/>
        <v>0</v>
      </c>
      <c r="L22" s="254">
        <f t="shared" si="20"/>
        <v>0</v>
      </c>
      <c r="M22" s="254">
        <f t="shared" si="20"/>
        <v>0</v>
      </c>
      <c r="N22" s="254">
        <f t="shared" si="20"/>
        <v>42622.263599999998</v>
      </c>
      <c r="O22" s="254">
        <f t="shared" si="20"/>
        <v>0</v>
      </c>
      <c r="P22" s="254">
        <f t="shared" si="20"/>
        <v>0</v>
      </c>
      <c r="Q22" s="254">
        <f t="shared" si="20"/>
        <v>0</v>
      </c>
      <c r="R22" s="254">
        <f t="shared" si="20"/>
        <v>101447</v>
      </c>
      <c r="S22" s="254">
        <f t="shared" si="20"/>
        <v>0</v>
      </c>
      <c r="T22" s="254">
        <f t="shared" si="20"/>
        <v>0</v>
      </c>
      <c r="U22" s="254">
        <f t="shared" si="20"/>
        <v>0</v>
      </c>
      <c r="V22" s="254">
        <f t="shared" si="20"/>
        <v>0</v>
      </c>
      <c r="W22" s="254">
        <f t="shared" si="20"/>
        <v>0</v>
      </c>
      <c r="X22" s="254">
        <f t="shared" si="20"/>
        <v>0</v>
      </c>
      <c r="Y22" s="254">
        <f t="shared" si="20"/>
        <v>0</v>
      </c>
      <c r="Z22" s="254">
        <f t="shared" si="20"/>
        <v>0</v>
      </c>
      <c r="AA22" s="254">
        <f t="shared" si="20"/>
        <v>0</v>
      </c>
      <c r="AB22" s="254">
        <f t="shared" si="20"/>
        <v>0</v>
      </c>
      <c r="AC22" s="254">
        <f t="shared" si="1"/>
        <v>144069.26360000001</v>
      </c>
      <c r="AD22" s="573">
        <f t="shared" si="2"/>
        <v>3.0354395116216643E-2</v>
      </c>
      <c r="AE22" s="283">
        <f>SUMIFS($E22:$AB22,$E$4:$AB$4,AE$2,$E$5:$AB$5,"Yes")</f>
        <v>0</v>
      </c>
      <c r="AF22" s="288"/>
      <c r="AG22" s="287">
        <f t="shared" si="4"/>
        <v>0</v>
      </c>
      <c r="AH22" s="288"/>
      <c r="AI22" s="287">
        <f t="shared" si="5"/>
        <v>0</v>
      </c>
      <c r="AJ22" s="288" t="e">
        <f>AI22/E22</f>
        <v>#DIV/0!</v>
      </c>
      <c r="AK22" s="284">
        <f t="shared" si="6"/>
        <v>0</v>
      </c>
      <c r="AL22" s="285"/>
      <c r="AM22" s="342">
        <f>AC22/$AC$26</f>
        <v>3.0354395116216643E-2</v>
      </c>
    </row>
    <row r="23" spans="1:40">
      <c r="A23" s="327" t="s">
        <v>150</v>
      </c>
      <c r="B23" s="254">
        <f t="shared" ref="B23:D24" si="21">SUMIF($E$4:$AB$4,B$2,$E23:$AB23)</f>
        <v>0</v>
      </c>
      <c r="C23" s="254">
        <f t="shared" si="21"/>
        <v>42622.263599999998</v>
      </c>
      <c r="D23" s="254">
        <f t="shared" si="21"/>
        <v>0</v>
      </c>
      <c r="E23" s="255"/>
      <c r="F23" s="254"/>
      <c r="G23" s="254"/>
      <c r="H23" s="254"/>
      <c r="I23" s="254"/>
      <c r="J23" s="254"/>
      <c r="K23" s="254"/>
      <c r="L23" s="254"/>
      <c r="M23" s="254"/>
      <c r="N23" s="254">
        <f>N10*4</f>
        <v>42622.263599999998</v>
      </c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>
        <f t="shared" si="1"/>
        <v>42622.263599999998</v>
      </c>
      <c r="AD23" s="573">
        <f t="shared" si="2"/>
        <v>8.9802154722885552E-3</v>
      </c>
      <c r="AE23" s="188">
        <f>SUMIFS($E23:$AB23,$E$4:$AB$4,AE$2,$E$5:$AB$5,"Yes")</f>
        <v>0</v>
      </c>
      <c r="AF23" s="289" t="e">
        <f>AE23/B23</f>
        <v>#DIV/0!</v>
      </c>
      <c r="AG23" s="187">
        <f t="shared" si="4"/>
        <v>0</v>
      </c>
      <c r="AH23" s="289">
        <f>AG23/C23</f>
        <v>0</v>
      </c>
      <c r="AI23" s="187">
        <f t="shared" si="5"/>
        <v>0</v>
      </c>
      <c r="AJ23" s="289" t="e">
        <f>AI23/D23</f>
        <v>#DIV/0!</v>
      </c>
      <c r="AK23" s="163">
        <f t="shared" si="6"/>
        <v>0</v>
      </c>
      <c r="AL23" s="164">
        <f>AK23/AC23</f>
        <v>0</v>
      </c>
      <c r="AM23" s="342"/>
    </row>
    <row r="24" spans="1:40">
      <c r="A24" s="327" t="s">
        <v>149</v>
      </c>
      <c r="B24" s="254">
        <f t="shared" si="21"/>
        <v>101447</v>
      </c>
      <c r="C24" s="254">
        <f t="shared" si="21"/>
        <v>0</v>
      </c>
      <c r="D24" s="254">
        <f t="shared" si="21"/>
        <v>0</v>
      </c>
      <c r="E24" s="255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>
        <f>42865*2+15717</f>
        <v>101447</v>
      </c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>
        <f t="shared" si="1"/>
        <v>101447</v>
      </c>
      <c r="AD24" s="574"/>
      <c r="AE24" s="188">
        <f>SUMIFS($E24:$AB24,$E$4:$AB$4,AE$2,$E$5:$AB$5,"Yes")</f>
        <v>0</v>
      </c>
      <c r="AF24" s="289">
        <f>AE24/B24</f>
        <v>0</v>
      </c>
      <c r="AG24" s="187">
        <f t="shared" si="4"/>
        <v>0</v>
      </c>
      <c r="AH24" s="289" t="e">
        <f>AG24/C24</f>
        <v>#DIV/0!</v>
      </c>
      <c r="AI24" s="187">
        <f t="shared" si="5"/>
        <v>0</v>
      </c>
      <c r="AJ24" s="289" t="e">
        <f>AI24/D24</f>
        <v>#DIV/0!</v>
      </c>
      <c r="AK24" s="163">
        <f t="shared" si="6"/>
        <v>0</v>
      </c>
      <c r="AL24" s="164">
        <f>AK24/AC24</f>
        <v>0</v>
      </c>
      <c r="AM24" s="342"/>
    </row>
    <row r="25" spans="1:40">
      <c r="A25" s="40"/>
      <c r="B25" s="347">
        <f>SUM(B11,B15,B20,B21,B22)</f>
        <v>1720009.9097999998</v>
      </c>
      <c r="C25" s="347">
        <f>SUM(C11,C15,C20,C21,C22)</f>
        <v>1223677.594</v>
      </c>
      <c r="D25" s="347">
        <f>SUM(D11,D15,D20,D21,D22)</f>
        <v>1099238.1443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179"/>
      <c r="AD25" s="179"/>
      <c r="AE25" s="296">
        <f>SUM(AE11:AE24)</f>
        <v>471433.26499999996</v>
      </c>
      <c r="AF25" s="297"/>
      <c r="AG25" s="298">
        <f>SUM(AG11:AG24)</f>
        <v>1476647.4898999999</v>
      </c>
      <c r="AH25" s="297"/>
      <c r="AI25" s="298">
        <f>SUM(AI11:AI24)</f>
        <v>0</v>
      </c>
      <c r="AJ25" s="299"/>
      <c r="AK25" s="300">
        <f>SUM(AK11:AK24)</f>
        <v>2074004.1382999998</v>
      </c>
      <c r="AL25" s="301">
        <f>AK25/AC26</f>
        <v>0.43697829442245179</v>
      </c>
      <c r="AM25" s="342"/>
    </row>
    <row r="26" spans="1:40" ht="14.7" thickBot="1">
      <c r="B26" s="348">
        <f>B25/SUM($B$25:$D$25)</f>
        <v>0.4254369383736577</v>
      </c>
      <c r="C26" s="348">
        <f>C25/SUM($B$25:$D$25)</f>
        <v>0.30267130798585812</v>
      </c>
      <c r="D26" s="348">
        <f>D25/SUM($B$25:$D$25)</f>
        <v>0.27189175364048418</v>
      </c>
      <c r="I26" s="73"/>
      <c r="J26" s="73"/>
      <c r="K26" s="73"/>
      <c r="U26" s="8"/>
      <c r="V26" s="8"/>
      <c r="W26" s="8"/>
      <c r="X26" s="73"/>
      <c r="AB26" s="344" t="s">
        <v>391</v>
      </c>
      <c r="AC26" s="74">
        <f>SUM(AC11,AC15,AC16,AC20,AC21,AC22)</f>
        <v>4746240.6365999999</v>
      </c>
      <c r="AE26" s="199">
        <f>AE25/$AK$25</f>
        <v>0.22730584587281485</v>
      </c>
      <c r="AF26" s="293"/>
      <c r="AG26" s="294">
        <f>AG25/$AK$25</f>
        <v>0.71197904701885717</v>
      </c>
      <c r="AH26" s="293"/>
      <c r="AI26" s="294">
        <f>AI25/$AK$25</f>
        <v>0</v>
      </c>
      <c r="AJ26" s="295"/>
      <c r="AK26" s="165"/>
      <c r="AL26" s="178"/>
    </row>
    <row r="27" spans="1:40" ht="14.4">
      <c r="I27" s="73"/>
      <c r="J27" s="73"/>
      <c r="K27" s="73"/>
      <c r="U27" s="8"/>
      <c r="V27" s="8"/>
      <c r="W27" s="8"/>
      <c r="X27" s="73"/>
      <c r="AE27" s="73"/>
      <c r="AF27" s="73"/>
      <c r="AG27" s="73"/>
      <c r="AH27" s="73"/>
      <c r="AI27" s="73"/>
      <c r="AJ27" s="73"/>
      <c r="AK27" s="73"/>
    </row>
    <row r="28" spans="1:40" ht="14.4">
      <c r="I28" s="73"/>
      <c r="J28" s="73"/>
      <c r="K28" s="73"/>
      <c r="U28" s="8"/>
      <c r="V28" s="8"/>
      <c r="W28" s="8"/>
      <c r="X28" s="73"/>
      <c r="AE28" s="73"/>
      <c r="AF28" s="73"/>
      <c r="AG28" s="73"/>
      <c r="AH28" s="73"/>
      <c r="AI28" s="73"/>
      <c r="AJ28" s="73"/>
      <c r="AK28" s="73"/>
      <c r="AL28" s="315"/>
    </row>
    <row r="29" spans="1:40" ht="14.4">
      <c r="I29" s="73"/>
      <c r="J29" s="73"/>
      <c r="K29" s="73"/>
      <c r="U29" s="8"/>
      <c r="V29" s="8"/>
      <c r="W29" s="8"/>
      <c r="X29" s="73"/>
      <c r="AC29" s="75"/>
      <c r="AD29" s="75"/>
      <c r="AE29" s="73"/>
      <c r="AF29" s="73"/>
      <c r="AG29" s="73"/>
      <c r="AH29" s="73"/>
      <c r="AI29" s="73"/>
      <c r="AJ29" s="73"/>
      <c r="AK29" s="73"/>
      <c r="AL29" s="315"/>
      <c r="AN29" s="75"/>
    </row>
    <row r="30" spans="1:40" ht="14.4">
      <c r="B30" s="81"/>
      <c r="I30" s="73"/>
      <c r="J30" s="73"/>
      <c r="K30" s="73"/>
      <c r="R30" s="76"/>
      <c r="U30" s="8"/>
      <c r="V30" s="183"/>
      <c r="W30" s="8"/>
      <c r="X30" s="73"/>
      <c r="AC30" s="75"/>
      <c r="AD30" s="75"/>
      <c r="AE30" s="73"/>
      <c r="AF30" s="73"/>
      <c r="AG30" s="73"/>
      <c r="AH30" s="73"/>
      <c r="AI30" s="73"/>
      <c r="AJ30" s="73"/>
      <c r="AK30" s="73"/>
      <c r="AL30" s="315"/>
      <c r="AN30" s="75"/>
    </row>
    <row r="31" spans="1:40" ht="14.4">
      <c r="B31" s="81"/>
      <c r="I31" s="77"/>
      <c r="J31" s="73"/>
      <c r="K31" s="73"/>
      <c r="U31" s="8"/>
      <c r="V31" s="8"/>
      <c r="W31" s="8"/>
      <c r="X31" s="73"/>
      <c r="AL31" s="315"/>
      <c r="AN31" s="75"/>
    </row>
    <row r="32" spans="1:40" ht="14.4">
      <c r="I32" s="73"/>
      <c r="J32" s="73"/>
      <c r="K32" s="73"/>
      <c r="U32" s="8"/>
      <c r="V32" s="8"/>
      <c r="W32" s="8"/>
      <c r="X32" s="73"/>
      <c r="AL32" s="315"/>
      <c r="AN32" s="316"/>
    </row>
    <row r="33" spans="3:45" ht="14.4">
      <c r="C33" s="347"/>
      <c r="I33" s="73"/>
      <c r="J33" s="73"/>
      <c r="K33" s="73"/>
      <c r="U33" s="8"/>
      <c r="V33" s="8"/>
      <c r="W33" s="8"/>
      <c r="X33" s="73"/>
      <c r="AL33" s="315"/>
      <c r="AN33" s="317"/>
    </row>
    <row r="34" spans="3:45" ht="14.4">
      <c r="C34" s="81"/>
      <c r="I34" s="73"/>
      <c r="J34" s="73"/>
      <c r="K34" s="73"/>
      <c r="U34" s="8"/>
      <c r="V34" s="8"/>
      <c r="W34" s="8"/>
      <c r="X34" s="73"/>
      <c r="AL34" s="315"/>
      <c r="AN34" s="317"/>
      <c r="AS34" s="316"/>
    </row>
    <row r="35" spans="3:45" ht="14.4">
      <c r="C35" s="81"/>
      <c r="U35" s="8"/>
      <c r="V35" s="8"/>
      <c r="W35" s="8"/>
      <c r="X35" s="73"/>
      <c r="AL35" s="315"/>
    </row>
    <row r="36" spans="3:45" ht="14.4">
      <c r="R36" s="76"/>
      <c r="U36" s="8"/>
      <c r="V36" s="8"/>
      <c r="W36" s="8"/>
      <c r="X36" s="73"/>
      <c r="AL36" s="315"/>
    </row>
    <row r="37" spans="3:45" ht="14.4">
      <c r="U37" s="8"/>
      <c r="V37" s="8"/>
      <c r="W37" s="8"/>
      <c r="X37" s="73"/>
      <c r="AL37" s="315"/>
      <c r="AN37" s="317"/>
    </row>
    <row r="38" spans="3:45" ht="14.4">
      <c r="U38" s="8"/>
      <c r="V38" s="8"/>
      <c r="W38" s="8"/>
      <c r="X38" s="73"/>
      <c r="AL38" s="315"/>
      <c r="AN38" s="317"/>
    </row>
    <row r="39" spans="3:45" ht="14.4">
      <c r="U39" s="8"/>
      <c r="V39" s="8"/>
      <c r="W39" s="8"/>
      <c r="X39" s="73"/>
      <c r="AL39" s="315"/>
      <c r="AN39" s="317"/>
    </row>
    <row r="40" spans="3:45" ht="14.4">
      <c r="U40" s="8"/>
      <c r="V40" s="8"/>
      <c r="W40" s="8"/>
      <c r="X40" s="73"/>
      <c r="AL40" s="315"/>
    </row>
    <row r="41" spans="3:45" ht="14.4">
      <c r="R41" s="76"/>
      <c r="U41" s="8"/>
      <c r="V41" s="8"/>
      <c r="W41" s="8"/>
      <c r="X41" s="73"/>
      <c r="AL41" s="315"/>
    </row>
    <row r="42" spans="3:45">
      <c r="U42" s="73"/>
      <c r="V42" s="73"/>
      <c r="W42" s="73"/>
      <c r="X42" s="73"/>
      <c r="AL42" s="315"/>
    </row>
    <row r="43" spans="3:45">
      <c r="U43" s="73"/>
      <c r="V43" s="73"/>
      <c r="W43" s="73"/>
      <c r="X43" s="73"/>
      <c r="AL43" s="315"/>
    </row>
    <row r="44" spans="3:45">
      <c r="U44" s="73"/>
      <c r="V44" s="73"/>
      <c r="W44" s="73"/>
      <c r="X44" s="73"/>
      <c r="AL44" s="315"/>
      <c r="AN44" s="75"/>
    </row>
    <row r="45" spans="3:45">
      <c r="R45" s="76"/>
      <c r="AL45" s="315"/>
    </row>
    <row r="46" spans="3:45">
      <c r="AL46" s="315"/>
    </row>
    <row r="47" spans="3:45">
      <c r="R47" s="76"/>
      <c r="AL47" s="315"/>
    </row>
    <row r="48" spans="3:45">
      <c r="AL48" s="315"/>
    </row>
    <row r="49" spans="18:38">
      <c r="AL49" s="315"/>
    </row>
    <row r="50" spans="18:38">
      <c r="R50" s="76"/>
    </row>
    <row r="51" spans="18:38">
      <c r="R51" s="76"/>
    </row>
    <row r="53" spans="18:38">
      <c r="R53" s="78"/>
    </row>
  </sheetData>
  <mergeCells count="2">
    <mergeCell ref="B1:D1"/>
    <mergeCell ref="AE1:AL1"/>
  </mergeCells>
  <pageMargins left="0.7" right="0.7" top="0.75" bottom="0.75" header="0.3" footer="0.3"/>
  <pageSetup orientation="portrait" r:id="rId1"/>
  <ignoredErrors>
    <ignoredError sqref="AF12:AL16 AF25:AL26 AK18:AL24 AF17:AH17 AJ17:AL17 V11:V16" formula="1"/>
    <ignoredError sqref="AF20:AJ24 AF18:AH19 AJ18:AJ19" evalError="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1D33B-A165-49C4-A99D-7D36324C7881}">
  <sheetPr>
    <tabColor rgb="FFFF0000"/>
  </sheetPr>
  <dimension ref="B4:AC93"/>
  <sheetViews>
    <sheetView showGridLines="0" zoomScale="70" zoomScaleNormal="70" workbookViewId="0">
      <selection activeCell="H29" sqref="H29"/>
    </sheetView>
    <sheetView zoomScale="55" zoomScaleNormal="55" workbookViewId="1">
      <selection activeCell="S25" sqref="S25"/>
    </sheetView>
  </sheetViews>
  <sheetFormatPr defaultColWidth="8.734375" defaultRowHeight="10.5"/>
  <cols>
    <col min="1" max="1" width="8.734375" style="40"/>
    <col min="2" max="2" width="22.89453125" style="40" customWidth="1"/>
    <col min="3" max="8" width="17.47265625" style="40" customWidth="1"/>
    <col min="9" max="9" width="8.734375" style="40"/>
    <col min="10" max="10" width="24.15625" style="40" bestFit="1" customWidth="1"/>
    <col min="11" max="24" width="13.26171875" style="40" customWidth="1"/>
    <col min="25" max="25" width="3.1015625" style="45" customWidth="1"/>
    <col min="26" max="26" width="17.3671875" style="40" customWidth="1"/>
    <col min="27" max="27" width="17" style="40" bestFit="1" customWidth="1"/>
    <col min="28" max="28" width="15.7890625" style="40" bestFit="1" customWidth="1"/>
    <col min="29" max="29" width="18.3671875" style="40" bestFit="1" customWidth="1"/>
    <col min="30" max="30" width="8.734375" style="40"/>
    <col min="31" max="31" width="24.62890625" style="40" bestFit="1" customWidth="1"/>
    <col min="32" max="32" width="12.3671875" style="40" customWidth="1"/>
    <col min="33" max="33" width="8.734375" style="40"/>
    <col min="34" max="34" width="12.26171875" style="40" customWidth="1"/>
    <col min="35" max="16384" width="8.734375" style="40"/>
  </cols>
  <sheetData>
    <row r="4" spans="2:29" ht="10.8" thickBot="1">
      <c r="B4" s="62" t="s">
        <v>115</v>
      </c>
      <c r="C4" s="63"/>
      <c r="D4" s="63"/>
      <c r="E4" s="63"/>
      <c r="F4" s="63"/>
      <c r="G4" s="63"/>
      <c r="H4" s="63"/>
      <c r="L4" s="339"/>
      <c r="M4" s="339"/>
      <c r="N4" s="45"/>
      <c r="O4" s="339"/>
      <c r="P4" s="339"/>
      <c r="Q4" s="45"/>
      <c r="R4" s="45"/>
      <c r="S4" s="45"/>
      <c r="T4" s="340"/>
      <c r="U4" s="340"/>
      <c r="X4" s="560" t="s">
        <v>193</v>
      </c>
    </row>
    <row r="5" spans="2:29" ht="10.8" thickBot="1">
      <c r="D5" s="52"/>
      <c r="E5" s="52"/>
      <c r="F5" s="52"/>
      <c r="G5" s="52"/>
      <c r="H5" s="52"/>
      <c r="K5" s="83" t="s">
        <v>152</v>
      </c>
      <c r="L5" s="84"/>
      <c r="M5" s="84"/>
      <c r="N5" s="209" t="s">
        <v>151</v>
      </c>
      <c r="O5" s="210"/>
      <c r="P5" s="211"/>
      <c r="Q5" s="206" t="s">
        <v>162</v>
      </c>
      <c r="R5" s="84"/>
      <c r="S5" s="83"/>
      <c r="T5" s="83" t="s">
        <v>175</v>
      </c>
      <c r="U5" s="85"/>
      <c r="V5" s="83" t="s">
        <v>427</v>
      </c>
      <c r="W5" s="86"/>
      <c r="X5" s="154"/>
      <c r="Y5" s="362"/>
      <c r="Z5" s="631" t="s">
        <v>412</v>
      </c>
      <c r="AA5" s="631"/>
      <c r="AB5" s="631"/>
      <c r="AC5" s="631"/>
    </row>
    <row r="6" spans="2:29" s="108" customFormat="1">
      <c r="B6" s="64"/>
      <c r="C6" s="166" t="s">
        <v>91</v>
      </c>
      <c r="D6" s="166" t="s">
        <v>93</v>
      </c>
      <c r="E6" s="166" t="s">
        <v>92</v>
      </c>
      <c r="J6" s="367" t="s">
        <v>117</v>
      </c>
      <c r="K6" s="109" t="s">
        <v>153</v>
      </c>
      <c r="L6" s="110" t="s">
        <v>155</v>
      </c>
      <c r="M6" s="110" t="s">
        <v>154</v>
      </c>
      <c r="N6" s="109" t="s">
        <v>184</v>
      </c>
      <c r="O6" s="110" t="s">
        <v>194</v>
      </c>
      <c r="P6" s="111" t="s">
        <v>218</v>
      </c>
      <c r="Q6" s="113" t="s">
        <v>169</v>
      </c>
      <c r="R6" s="114" t="s">
        <v>185</v>
      </c>
      <c r="S6" s="112" t="s">
        <v>191</v>
      </c>
      <c r="T6" s="112" t="s">
        <v>189</v>
      </c>
      <c r="U6" s="114" t="s">
        <v>190</v>
      </c>
      <c r="V6" s="112" t="s">
        <v>159</v>
      </c>
      <c r="W6" s="113" t="s">
        <v>160</v>
      </c>
      <c r="X6" s="114" t="s">
        <v>171</v>
      </c>
      <c r="Y6" s="363"/>
      <c r="Z6" s="376" t="s">
        <v>333</v>
      </c>
      <c r="AA6" s="377" t="s">
        <v>409</v>
      </c>
      <c r="AB6" s="377" t="s">
        <v>410</v>
      </c>
      <c r="AC6" s="378" t="s">
        <v>411</v>
      </c>
    </row>
    <row r="7" spans="2:29">
      <c r="B7" s="65" t="s">
        <v>208</v>
      </c>
      <c r="C7" s="65" t="s">
        <v>95</v>
      </c>
      <c r="D7" s="65" t="s">
        <v>95</v>
      </c>
      <c r="E7" s="65" t="s">
        <v>95</v>
      </c>
      <c r="J7" s="368" t="s">
        <v>165</v>
      </c>
      <c r="K7" s="88">
        <v>2</v>
      </c>
      <c r="L7" s="89">
        <f>(1-M7)/K7</f>
        <v>0.47499999999999998</v>
      </c>
      <c r="M7" s="203">
        <v>0.05</v>
      </c>
      <c r="N7" s="96" t="s">
        <v>102</v>
      </c>
      <c r="O7" s="202">
        <v>6</v>
      </c>
      <c r="P7" s="97"/>
      <c r="Q7" s="207">
        <v>0.03</v>
      </c>
      <c r="R7" s="101">
        <v>2.5000000000000001E-2</v>
      </c>
      <c r="S7" s="103">
        <v>0.1</v>
      </c>
      <c r="T7" s="370">
        <v>7.0000000000000007E-2</v>
      </c>
      <c r="U7" s="115">
        <v>6.7500000000000004E-2</v>
      </c>
      <c r="V7" s="364">
        <v>100</v>
      </c>
      <c r="W7" s="105">
        <v>100</v>
      </c>
      <c r="X7" s="106">
        <v>135</v>
      </c>
      <c r="Y7" s="391"/>
      <c r="Z7" s="379">
        <f>INDEX(summary!$A$2:$AD$24,MATCH(cockpit!$J7,summary!$A$2:$A$24,0),MATCH(cockpit!Z$6,summary!$A$2:$AD$2,0))</f>
        <v>0.21849269109601555</v>
      </c>
      <c r="AA7" s="380">
        <f t="shared" ref="AA7:AA15" si="0">Z7*totalsf</f>
        <v>1037018.8892799999</v>
      </c>
      <c r="AB7" s="381">
        <f t="shared" ref="AB7:AB15" si="1">AA7/$AA$17</f>
        <v>0.22533252354833591</v>
      </c>
      <c r="AC7" s="382">
        <f t="shared" ref="AC7:AC15" si="2">U7*AB7</f>
        <v>1.5209945339512676E-2</v>
      </c>
    </row>
    <row r="8" spans="2:29">
      <c r="B8" s="42">
        <v>0</v>
      </c>
      <c r="C8" s="48">
        <v>450</v>
      </c>
      <c r="D8" s="48" t="s">
        <v>213</v>
      </c>
      <c r="E8" s="48">
        <v>450</v>
      </c>
      <c r="J8" s="368" t="s">
        <v>141</v>
      </c>
      <c r="K8" s="88">
        <v>1</v>
      </c>
      <c r="L8" s="89">
        <f t="shared" ref="L8:L11" si="3">(1-M8)/K8</f>
        <v>0.97</v>
      </c>
      <c r="M8" s="203">
        <v>0.03</v>
      </c>
      <c r="N8" s="96" t="s">
        <v>102</v>
      </c>
      <c r="O8" s="202">
        <v>5</v>
      </c>
      <c r="P8" s="97"/>
      <c r="Q8" s="207">
        <v>0.05</v>
      </c>
      <c r="R8" s="101">
        <v>0</v>
      </c>
      <c r="S8" s="103">
        <v>0.05</v>
      </c>
      <c r="T8" s="370">
        <v>7.0000000000000007E-2</v>
      </c>
      <c r="U8" s="115">
        <v>6.5000000000000002E-2</v>
      </c>
      <c r="V8" s="364">
        <v>100</v>
      </c>
      <c r="W8" s="105">
        <v>100</v>
      </c>
      <c r="X8" s="106">
        <v>115</v>
      </c>
      <c r="Y8" s="391"/>
      <c r="Z8" s="379">
        <f>INDEX(summary!$A$2:$AD$24,MATCH(cockpit!$J8,summary!$A$2:$A$24,0),MATCH(cockpit!Z$6,summary!$A$2:$AD$2,0))</f>
        <v>5.0228081417038196E-2</v>
      </c>
      <c r="AA8" s="380">
        <f t="shared" si="0"/>
        <v>238394.56112</v>
      </c>
      <c r="AB8" s="381">
        <f t="shared" si="1"/>
        <v>5.1800452829421396E-2</v>
      </c>
      <c r="AC8" s="382">
        <f t="shared" si="2"/>
        <v>3.3670294339123909E-3</v>
      </c>
    </row>
    <row r="9" spans="2:29">
      <c r="B9" s="42">
        <v>1</v>
      </c>
      <c r="C9" s="48">
        <v>650</v>
      </c>
      <c r="D9" s="48" t="s">
        <v>213</v>
      </c>
      <c r="E9" s="48">
        <v>650</v>
      </c>
      <c r="J9" s="368" t="s">
        <v>157</v>
      </c>
      <c r="K9" s="88">
        <v>2</v>
      </c>
      <c r="L9" s="89">
        <f t="shared" si="3"/>
        <v>0.5</v>
      </c>
      <c r="M9" s="203">
        <v>0</v>
      </c>
      <c r="N9" s="92"/>
      <c r="O9" s="41"/>
      <c r="P9" s="91"/>
      <c r="Q9" s="207">
        <v>0</v>
      </c>
      <c r="R9" s="101">
        <v>0</v>
      </c>
      <c r="S9" s="103">
        <v>0.1</v>
      </c>
      <c r="T9" s="370">
        <v>7.0000000000000007E-2</v>
      </c>
      <c r="U9" s="115">
        <v>7.0000000000000007E-2</v>
      </c>
      <c r="V9" s="364">
        <v>100</v>
      </c>
      <c r="W9" s="105">
        <v>100</v>
      </c>
      <c r="X9" s="106">
        <v>175</v>
      </c>
      <c r="Y9" s="391"/>
      <c r="Z9" s="379">
        <f>INDEX(summary!$A$2:$AD$24,MATCH(cockpit!$J9,summary!$A$2:$A$24,0),MATCH(cockpit!Z$6,summary!$A$2:$AD$2,0))</f>
        <v>9.1568559113625783E-2</v>
      </c>
      <c r="AA9" s="380">
        <f t="shared" si="0"/>
        <v>434606.41629999998</v>
      </c>
      <c r="AB9" s="381">
        <f t="shared" si="1"/>
        <v>9.4435078808613501E-2</v>
      </c>
      <c r="AC9" s="382">
        <f t="shared" si="2"/>
        <v>6.6104555166029456E-3</v>
      </c>
    </row>
    <row r="10" spans="2:29">
      <c r="B10" s="42">
        <v>2</v>
      </c>
      <c r="C10" s="48">
        <v>1000</v>
      </c>
      <c r="D10" s="48">
        <v>1000</v>
      </c>
      <c r="E10" s="48">
        <v>1000</v>
      </c>
      <c r="J10" s="368" t="s">
        <v>110</v>
      </c>
      <c r="K10" s="88">
        <v>3</v>
      </c>
      <c r="L10" s="89">
        <f t="shared" si="3"/>
        <v>0.28333333333333333</v>
      </c>
      <c r="M10" s="203">
        <v>0.15</v>
      </c>
      <c r="N10" s="96" t="s">
        <v>102</v>
      </c>
      <c r="O10" s="202">
        <v>10</v>
      </c>
      <c r="P10" s="212" t="s">
        <v>225</v>
      </c>
      <c r="Q10" s="207">
        <v>0.05</v>
      </c>
      <c r="R10" s="101">
        <v>0.05</v>
      </c>
      <c r="S10" s="103">
        <v>0</v>
      </c>
      <c r="T10" s="370">
        <v>7.0000000000000007E-2</v>
      </c>
      <c r="U10" s="115">
        <v>8.5000000000000006E-2</v>
      </c>
      <c r="V10" s="364">
        <v>100</v>
      </c>
      <c r="W10" s="105">
        <v>100</v>
      </c>
      <c r="X10" s="106">
        <v>135</v>
      </c>
      <c r="Y10" s="391"/>
      <c r="Z10" s="379">
        <f>INDEX(summary!$A$2:$AD$24,MATCH(cockpit!$J10,summary!$A$2:$A$24,0),MATCH(cockpit!Z$6,summary!$A$2:$AD$2,0))</f>
        <v>0.34660006214485584</v>
      </c>
      <c r="AA10" s="380">
        <f t="shared" si="0"/>
        <v>1645047.2996</v>
      </c>
      <c r="AB10" s="381">
        <f t="shared" si="1"/>
        <v>0.35745024821351867</v>
      </c>
      <c r="AC10" s="382">
        <f t="shared" si="2"/>
        <v>3.0383271098149089E-2</v>
      </c>
    </row>
    <row r="11" spans="2:29">
      <c r="B11" s="42">
        <v>3</v>
      </c>
      <c r="C11" s="48">
        <v>1200</v>
      </c>
      <c r="D11" s="48">
        <v>1200</v>
      </c>
      <c r="E11" s="48">
        <v>1200</v>
      </c>
      <c r="J11" s="368" t="s">
        <v>142</v>
      </c>
      <c r="K11" s="88">
        <v>2</v>
      </c>
      <c r="L11" s="89">
        <f t="shared" si="3"/>
        <v>0.47499999999999998</v>
      </c>
      <c r="M11" s="203">
        <v>0.05</v>
      </c>
      <c r="N11" s="96" t="s">
        <v>102</v>
      </c>
      <c r="O11" s="202">
        <v>10</v>
      </c>
      <c r="P11" s="212" t="s">
        <v>225</v>
      </c>
      <c r="Q11" s="207">
        <v>0.05</v>
      </c>
      <c r="R11" s="101">
        <v>0.05</v>
      </c>
      <c r="S11" s="103">
        <v>0</v>
      </c>
      <c r="T11" s="370">
        <v>7.0000000000000007E-2</v>
      </c>
      <c r="U11" s="115">
        <v>7.0000000000000007E-2</v>
      </c>
      <c r="V11" s="364">
        <v>100</v>
      </c>
      <c r="W11" s="105">
        <v>100</v>
      </c>
      <c r="X11" s="106">
        <v>135</v>
      </c>
      <c r="Y11" s="391"/>
      <c r="Z11" s="379">
        <f>INDEX(summary!$A$2:$AD$24,MATCH(cockpit!$J11,summary!$A$2:$A$24,0),MATCH(cockpit!Z$6,summary!$A$2:$AD$2,0))</f>
        <v>0.14818359252088495</v>
      </c>
      <c r="AA11" s="380">
        <f t="shared" si="0"/>
        <v>703314.98849999998</v>
      </c>
      <c r="AB11" s="381">
        <f t="shared" si="1"/>
        <v>0.15282242478544053</v>
      </c>
      <c r="AC11" s="382">
        <f t="shared" si="2"/>
        <v>1.0697569734980839E-2</v>
      </c>
    </row>
    <row r="12" spans="2:29">
      <c r="B12" s="167"/>
      <c r="C12" s="65" t="s">
        <v>107</v>
      </c>
      <c r="D12" s="65" t="s">
        <v>107</v>
      </c>
      <c r="E12" s="65" t="s">
        <v>107</v>
      </c>
      <c r="J12" s="368" t="s">
        <v>145</v>
      </c>
      <c r="K12" s="88">
        <v>1</v>
      </c>
      <c r="L12" s="89">
        <f>(1-M12)/K12</f>
        <v>0.65</v>
      </c>
      <c r="M12" s="203">
        <v>0.35</v>
      </c>
      <c r="N12" s="96" t="s">
        <v>125</v>
      </c>
      <c r="O12" s="203">
        <v>0.2</v>
      </c>
      <c r="P12" s="90"/>
      <c r="Q12" s="207">
        <v>0.05</v>
      </c>
      <c r="R12" s="101">
        <v>0</v>
      </c>
      <c r="S12" s="103">
        <v>0.25</v>
      </c>
      <c r="T12" s="370">
        <v>7.0000000000000007E-2</v>
      </c>
      <c r="U12" s="115">
        <v>7.0000000000000007E-2</v>
      </c>
      <c r="V12" s="364">
        <v>100</v>
      </c>
      <c r="W12" s="105">
        <v>100</v>
      </c>
      <c r="X12" s="106">
        <v>225</v>
      </c>
      <c r="Y12" s="391"/>
      <c r="Z12" s="379">
        <f>INDEX(summary!$A$2:$AD$24,MATCH(cockpit!$J12,summary!$A$2:$A$24,0),MATCH(cockpit!Z$6,summary!$A$2:$AD$2,0))</f>
        <v>7.6478139245806487E-2</v>
      </c>
      <c r="AA12" s="380">
        <f t="shared" si="0"/>
        <v>362983.65230000002</v>
      </c>
      <c r="AB12" s="381">
        <f t="shared" si="1"/>
        <v>7.8872258957923866E-2</v>
      </c>
      <c r="AC12" s="382">
        <f t="shared" si="2"/>
        <v>5.5210581270546712E-3</v>
      </c>
    </row>
    <row r="13" spans="2:29">
      <c r="B13" s="42">
        <v>0</v>
      </c>
      <c r="C13" s="49">
        <v>1000</v>
      </c>
      <c r="D13" s="49">
        <v>750</v>
      </c>
      <c r="E13" s="49">
        <v>1000</v>
      </c>
      <c r="J13" s="368" t="s">
        <v>147</v>
      </c>
      <c r="K13" s="374"/>
      <c r="L13" s="89"/>
      <c r="M13" s="203"/>
      <c r="N13" s="96" t="s">
        <v>125</v>
      </c>
      <c r="O13" s="204">
        <f>D56</f>
        <v>0.15</v>
      </c>
      <c r="P13" s="98"/>
      <c r="Q13" s="207">
        <v>0.05</v>
      </c>
      <c r="R13" s="101">
        <v>0</v>
      </c>
      <c r="S13" s="103">
        <v>0</v>
      </c>
      <c r="T13" s="370">
        <v>7.0000000000000007E-2</v>
      </c>
      <c r="U13" s="115">
        <v>7.0000000000000007E-2</v>
      </c>
      <c r="V13" s="364">
        <v>100</v>
      </c>
      <c r="W13" s="105">
        <v>100</v>
      </c>
      <c r="X13" s="106"/>
      <c r="Y13" s="391"/>
      <c r="Z13" s="379"/>
      <c r="AA13" s="380">
        <f t="shared" si="0"/>
        <v>0</v>
      </c>
      <c r="AB13" s="381">
        <f t="shared" si="1"/>
        <v>0</v>
      </c>
      <c r="AC13" s="382">
        <f t="shared" si="2"/>
        <v>0</v>
      </c>
    </row>
    <row r="14" spans="2:29">
      <c r="B14" s="42">
        <v>1</v>
      </c>
      <c r="C14" s="49">
        <v>1250</v>
      </c>
      <c r="D14" s="49">
        <v>900</v>
      </c>
      <c r="E14" s="49">
        <v>1500</v>
      </c>
      <c r="J14" s="368" t="s">
        <v>148</v>
      </c>
      <c r="K14" s="374"/>
      <c r="L14" s="89"/>
      <c r="M14" s="203"/>
      <c r="N14" s="96" t="s">
        <v>125</v>
      </c>
      <c r="O14" s="204">
        <f>D57</f>
        <v>0.15</v>
      </c>
      <c r="P14" s="98"/>
      <c r="Q14" s="207">
        <v>0.05</v>
      </c>
      <c r="R14" s="101">
        <v>0</v>
      </c>
      <c r="S14" s="103">
        <v>0</v>
      </c>
      <c r="T14" s="370">
        <v>7.0000000000000007E-2</v>
      </c>
      <c r="U14" s="115">
        <v>7.0000000000000007E-2</v>
      </c>
      <c r="V14" s="364">
        <v>100</v>
      </c>
      <c r="W14" s="105">
        <v>100</v>
      </c>
      <c r="X14" s="106"/>
      <c r="Y14" s="391"/>
      <c r="Z14" s="379"/>
      <c r="AA14" s="380">
        <f t="shared" si="0"/>
        <v>0</v>
      </c>
      <c r="AB14" s="381">
        <f t="shared" si="1"/>
        <v>0</v>
      </c>
      <c r="AC14" s="382">
        <f t="shared" si="2"/>
        <v>0</v>
      </c>
    </row>
    <row r="15" spans="2:29">
      <c r="B15" s="42">
        <v>2</v>
      </c>
      <c r="C15" s="49">
        <v>2000</v>
      </c>
      <c r="D15" s="49">
        <v>1250</v>
      </c>
      <c r="E15" s="49">
        <v>2000</v>
      </c>
      <c r="J15" s="368" t="s">
        <v>131</v>
      </c>
      <c r="K15" s="375">
        <v>2</v>
      </c>
      <c r="L15" s="89">
        <f>(1-M15)/K15</f>
        <v>0.47499999999999998</v>
      </c>
      <c r="M15" s="203">
        <v>0.05</v>
      </c>
      <c r="N15" s="96" t="s">
        <v>125</v>
      </c>
      <c r="O15" s="203">
        <v>0.25</v>
      </c>
      <c r="P15" s="90"/>
      <c r="Q15" s="207">
        <v>2.5000000000000001E-2</v>
      </c>
      <c r="R15" s="101">
        <v>0</v>
      </c>
      <c r="S15" s="103">
        <v>0.4</v>
      </c>
      <c r="T15" s="370">
        <v>0.09</v>
      </c>
      <c r="U15" s="115">
        <v>0.1</v>
      </c>
      <c r="V15" s="364">
        <v>100</v>
      </c>
      <c r="W15" s="105">
        <v>100</v>
      </c>
      <c r="X15" s="106">
        <v>50</v>
      </c>
      <c r="Y15" s="391"/>
      <c r="Z15" s="379">
        <f>INDEX(summary!$A$2:$AD$24,MATCH(cockpit!$J15,summary!$A$2:$A$24,0),MATCH(cockpit!Z$6,summary!$A$2:$AD$2,0))</f>
        <v>3.8094479345556577E-2</v>
      </c>
      <c r="AA15" s="380">
        <f t="shared" si="0"/>
        <v>180805.56589999999</v>
      </c>
      <c r="AB15" s="381">
        <f t="shared" si="1"/>
        <v>3.9287012856746135E-2</v>
      </c>
      <c r="AC15" s="382">
        <f t="shared" si="2"/>
        <v>3.9287012856746139E-3</v>
      </c>
    </row>
    <row r="16" spans="2:29" ht="10.8" thickBot="1">
      <c r="B16" s="42">
        <v>3</v>
      </c>
      <c r="C16" s="49">
        <v>2250</v>
      </c>
      <c r="D16" s="49">
        <v>1600</v>
      </c>
      <c r="E16" s="49">
        <v>2000</v>
      </c>
      <c r="J16" s="369" t="s">
        <v>286</v>
      </c>
      <c r="K16" s="93"/>
      <c r="L16" s="94"/>
      <c r="M16" s="94"/>
      <c r="N16" s="99" t="s">
        <v>125</v>
      </c>
      <c r="O16" s="205"/>
      <c r="P16" s="100"/>
      <c r="Q16" s="208">
        <v>0.1</v>
      </c>
      <c r="R16" s="102">
        <v>0</v>
      </c>
      <c r="S16" s="104">
        <v>0</v>
      </c>
      <c r="T16" s="371">
        <v>0</v>
      </c>
      <c r="U16" s="116">
        <v>0</v>
      </c>
      <c r="V16" s="365">
        <v>100</v>
      </c>
      <c r="W16" s="107">
        <v>100</v>
      </c>
      <c r="X16" s="366">
        <v>225</v>
      </c>
      <c r="Y16" s="391"/>
      <c r="Z16" s="383"/>
      <c r="AA16" s="94"/>
      <c r="AB16" s="94"/>
      <c r="AC16" s="95"/>
    </row>
    <row r="17" spans="2:29">
      <c r="C17" s="65" t="s">
        <v>96</v>
      </c>
      <c r="D17" s="65" t="s">
        <v>96</v>
      </c>
      <c r="E17" s="65" t="s">
        <v>96</v>
      </c>
      <c r="V17" s="390" t="s">
        <v>428</v>
      </c>
      <c r="AA17" s="168">
        <f>SUM(AA7:AA16)</f>
        <v>4602171.3729999997</v>
      </c>
      <c r="AC17" s="384">
        <f>SUM(AC7:AC16)</f>
        <v>7.5718030535887229E-2</v>
      </c>
    </row>
    <row r="18" spans="2:29">
      <c r="B18" s="42">
        <v>0</v>
      </c>
      <c r="C18" s="47">
        <v>0.4</v>
      </c>
      <c r="D18" s="47">
        <v>0</v>
      </c>
      <c r="E18" s="47">
        <v>0.15</v>
      </c>
    </row>
    <row r="19" spans="2:29">
      <c r="B19" s="42">
        <v>1</v>
      </c>
      <c r="C19" s="47">
        <v>0.35</v>
      </c>
      <c r="D19" s="47">
        <v>0</v>
      </c>
      <c r="E19" s="47">
        <v>0.3</v>
      </c>
      <c r="Q19" s="45"/>
      <c r="R19" s="45"/>
      <c r="S19" s="45"/>
      <c r="T19" s="45"/>
      <c r="U19" s="45"/>
      <c r="V19" s="45"/>
      <c r="W19" s="45"/>
      <c r="X19" s="45"/>
    </row>
    <row r="20" spans="2:29">
      <c r="B20" s="42">
        <v>2</v>
      </c>
      <c r="C20" s="47">
        <v>0.2</v>
      </c>
      <c r="D20" s="47">
        <v>0.75</v>
      </c>
      <c r="E20" s="47">
        <v>0.45</v>
      </c>
      <c r="Q20" s="45"/>
      <c r="R20" s="45"/>
      <c r="S20" s="45"/>
      <c r="T20" s="45"/>
      <c r="U20" s="45"/>
      <c r="V20" s="339"/>
      <c r="W20" s="339"/>
      <c r="X20" s="339"/>
      <c r="Y20" s="339"/>
    </row>
    <row r="21" spans="2:29">
      <c r="B21" s="42">
        <v>3</v>
      </c>
      <c r="C21" s="47">
        <v>0.05</v>
      </c>
      <c r="D21" s="47">
        <v>0.25</v>
      </c>
      <c r="E21" s="47">
        <v>0.1</v>
      </c>
      <c r="J21" s="372" t="s">
        <v>164</v>
      </c>
      <c r="K21" s="70"/>
      <c r="L21" s="70"/>
      <c r="M21" s="70"/>
      <c r="Q21" s="45"/>
      <c r="R21" s="372" t="s">
        <v>459</v>
      </c>
      <c r="S21" s="70"/>
      <c r="T21" s="70"/>
      <c r="U21" s="70"/>
      <c r="V21" s="45"/>
      <c r="W21" s="45"/>
      <c r="X21" s="45"/>
    </row>
    <row r="22" spans="2:29">
      <c r="C22" s="43" t="b">
        <f>SUM(C18:C21)=1</f>
        <v>1</v>
      </c>
      <c r="D22" s="43" t="b">
        <f>SUM(D18:D21)=1</f>
        <v>1</v>
      </c>
      <c r="E22" s="43" t="b">
        <f>SUM(E18:E21)=1</f>
        <v>1</v>
      </c>
      <c r="Q22" s="45"/>
      <c r="R22" s="45"/>
      <c r="U22" s="45"/>
      <c r="V22" s="45"/>
      <c r="W22" s="45"/>
      <c r="X22" s="45"/>
    </row>
    <row r="23" spans="2:29">
      <c r="J23" s="56" t="s">
        <v>89</v>
      </c>
      <c r="K23" s="56" t="s">
        <v>407</v>
      </c>
      <c r="L23" s="56" t="s">
        <v>179</v>
      </c>
      <c r="M23" s="56" t="s">
        <v>180</v>
      </c>
      <c r="N23" s="56" t="s">
        <v>408</v>
      </c>
      <c r="Q23" s="45"/>
      <c r="R23" s="56" t="s">
        <v>172</v>
      </c>
      <c r="S23" s="56"/>
      <c r="T23" s="56"/>
      <c r="U23" s="56"/>
      <c r="V23" s="45"/>
      <c r="W23" s="45"/>
      <c r="X23" s="339"/>
      <c r="Y23" s="339"/>
    </row>
    <row r="24" spans="2:29">
      <c r="B24" s="56" t="s">
        <v>94</v>
      </c>
      <c r="C24" s="56" t="s">
        <v>104</v>
      </c>
      <c r="D24" s="56" t="s">
        <v>105</v>
      </c>
      <c r="E24" s="56" t="s">
        <v>109</v>
      </c>
      <c r="F24" s="171" t="s">
        <v>215</v>
      </c>
      <c r="G24" s="87" t="s">
        <v>216</v>
      </c>
      <c r="H24" s="56" t="s">
        <v>207</v>
      </c>
      <c r="J24" s="46">
        <v>1</v>
      </c>
      <c r="K24" s="58">
        <v>1</v>
      </c>
      <c r="L24" s="40">
        <f>Phase1begin+Constructiontime-1</f>
        <v>2</v>
      </c>
      <c r="M24" s="40">
        <f>Phase1end+1</f>
        <v>3</v>
      </c>
      <c r="N24" s="40">
        <f>Phase1open+MAX(K7:K16)-1</f>
        <v>5</v>
      </c>
      <c r="Q24" s="45"/>
      <c r="R24" s="45" t="s">
        <v>420</v>
      </c>
      <c r="S24" s="80">
        <v>0.55000000000000004</v>
      </c>
      <c r="U24" s="45"/>
      <c r="V24" s="339"/>
      <c r="W24" s="339"/>
      <c r="X24" s="339"/>
      <c r="Y24" s="339"/>
    </row>
    <row r="25" spans="2:29">
      <c r="B25" s="66" t="s">
        <v>165</v>
      </c>
      <c r="C25" s="53">
        <f>SUMPRODUCT($C$8:$C$11,C18:C21)</f>
        <v>667.5</v>
      </c>
      <c r="D25" s="54">
        <f>SUMPRODUCT(C18:C21,C13:C16)</f>
        <v>1350</v>
      </c>
      <c r="E25" s="51">
        <f>D25/C25</f>
        <v>2.0224719101123596</v>
      </c>
      <c r="F25" s="169">
        <f>MarketrateSF/SUM(MarketrateSF,ResidentialCondominiumSF,ResidentialAffordableSF)</f>
        <v>0.60643674934680225</v>
      </c>
      <c r="G25" s="173">
        <f>MarketrateSF*(1-S7)</f>
        <v>933317.000352</v>
      </c>
      <c r="H25" s="173">
        <f>G25/C25</f>
        <v>1398.2277158831462</v>
      </c>
      <c r="J25" s="46">
        <v>2</v>
      </c>
      <c r="K25" s="58">
        <v>3</v>
      </c>
      <c r="L25" s="40">
        <f>Phase2begin+Constructiontime-1</f>
        <v>4</v>
      </c>
      <c r="M25" s="40">
        <f>Phase2end+1</f>
        <v>5</v>
      </c>
      <c r="N25" s="40">
        <f>Phase2open+MAX(K8:K17)-1</f>
        <v>7</v>
      </c>
      <c r="Q25" s="45"/>
      <c r="R25" s="45" t="s">
        <v>416</v>
      </c>
      <c r="S25" s="80">
        <v>0.12</v>
      </c>
      <c r="U25" s="45"/>
      <c r="V25" s="339"/>
      <c r="W25" s="339"/>
      <c r="X25" s="339"/>
      <c r="Y25" s="339"/>
    </row>
    <row r="26" spans="2:29">
      <c r="B26" s="66" t="s">
        <v>141</v>
      </c>
      <c r="C26" s="53">
        <f>SUMPRODUCT($D$8:$D$11,D18:D21)</f>
        <v>1050</v>
      </c>
      <c r="D26" s="54">
        <f>SUMPRODUCT(D18:D21,D13:D16)</f>
        <v>1337.5</v>
      </c>
      <c r="E26" s="51">
        <f>D26/C26</f>
        <v>1.2738095238095237</v>
      </c>
      <c r="F26" s="169">
        <f>ResidentialAffordableSF/SUM(MarketrateSF,ResidentialCondominiumSF,ResidentialAffordableSF)</f>
        <v>0.13941040438322763</v>
      </c>
      <c r="G26" s="173">
        <f>ResidentialAffordableSF*(1-S8)</f>
        <v>226474.83306399998</v>
      </c>
      <c r="H26" s="173">
        <f>G26/C26</f>
        <v>215.69031720380951</v>
      </c>
      <c r="J26" s="46">
        <v>3</v>
      </c>
      <c r="K26" s="58">
        <v>5</v>
      </c>
      <c r="L26" s="40">
        <f>Phase3begin+Constructiontime-1</f>
        <v>6</v>
      </c>
      <c r="M26" s="40">
        <f>Phase3end+1</f>
        <v>7</v>
      </c>
      <c r="N26" s="40">
        <f>Phase3open+MAX(K9:K18)-1</f>
        <v>9</v>
      </c>
      <c r="P26" s="45"/>
      <c r="Q26" s="45"/>
      <c r="R26" s="45" t="s">
        <v>452</v>
      </c>
      <c r="S26" s="80">
        <v>7.4999999999999997E-2</v>
      </c>
      <c r="U26" s="45"/>
      <c r="V26" s="339"/>
      <c r="W26" s="339"/>
      <c r="X26" s="339"/>
      <c r="Y26" s="339"/>
    </row>
    <row r="27" spans="2:29">
      <c r="C27" s="45"/>
      <c r="E27" s="56" t="s">
        <v>108</v>
      </c>
      <c r="F27" s="170"/>
      <c r="G27" s="173"/>
      <c r="H27" s="174"/>
      <c r="P27" s="45"/>
      <c r="Q27" s="45"/>
      <c r="R27" s="45"/>
      <c r="U27" s="45"/>
      <c r="V27" s="339"/>
      <c r="W27" s="339"/>
      <c r="X27" s="339"/>
      <c r="Y27" s="339"/>
    </row>
    <row r="28" spans="2:29">
      <c r="B28" s="66" t="s">
        <v>92</v>
      </c>
      <c r="C28" s="53">
        <f>SUMPRODUCT($E$8:$E$11,E18:E21)</f>
        <v>832.5</v>
      </c>
      <c r="D28" s="54"/>
      <c r="E28" s="57">
        <v>275</v>
      </c>
      <c r="F28" s="169">
        <f>ResidentialCondominiumSF/SUM(MarketrateSF,ResidentialCondominiumSF,ResidentialAffordableSF)</f>
        <v>0.2541528462699702</v>
      </c>
      <c r="G28" s="173">
        <f>ResidentialCondominiumSF*(1-S9)</f>
        <v>391145.77467000001</v>
      </c>
      <c r="H28" s="173">
        <f>G28/C28</f>
        <v>469.84477437837842</v>
      </c>
      <c r="J28" s="82" t="s">
        <v>161</v>
      </c>
      <c r="K28" s="58">
        <v>2</v>
      </c>
      <c r="P28" s="45"/>
      <c r="Q28" s="45"/>
      <c r="R28" s="56" t="s">
        <v>173</v>
      </c>
      <c r="S28" s="56"/>
      <c r="T28" s="56"/>
      <c r="U28" s="56"/>
      <c r="V28" s="339"/>
      <c r="W28" s="339"/>
      <c r="X28" s="339"/>
      <c r="Y28" s="339"/>
    </row>
    <row r="29" spans="2:29">
      <c r="B29" s="46" t="s">
        <v>214</v>
      </c>
      <c r="C29" s="168">
        <f>SUMPRODUCT(C25:C28,F25:F28)</f>
        <v>762.75969931112968</v>
      </c>
      <c r="F29" s="200">
        <f>SUM(F25:F28)</f>
        <v>1</v>
      </c>
      <c r="G29" s="172"/>
      <c r="H29" s="53">
        <f>SUM(H25:H28)</f>
        <v>2083.7628074653344</v>
      </c>
      <c r="J29" s="40" t="s">
        <v>158</v>
      </c>
      <c r="K29" s="47">
        <v>0.15</v>
      </c>
      <c r="P29" s="45"/>
      <c r="Q29" s="45"/>
      <c r="R29" s="45" t="s">
        <v>421</v>
      </c>
      <c r="S29" s="373">
        <v>0.65</v>
      </c>
      <c r="T29" s="45"/>
      <c r="U29" s="45"/>
      <c r="V29" s="339"/>
      <c r="W29" s="339"/>
      <c r="X29" s="339"/>
      <c r="Y29" s="339"/>
    </row>
    <row r="30" spans="2:29">
      <c r="P30" s="45"/>
      <c r="Q30" s="45"/>
      <c r="R30" s="45" t="s">
        <v>453</v>
      </c>
      <c r="S30" s="373">
        <v>6.5000000000000002E-2</v>
      </c>
      <c r="T30" s="45"/>
      <c r="U30" s="45"/>
      <c r="V30" s="339"/>
      <c r="W30" s="339"/>
      <c r="X30" s="339"/>
      <c r="Y30" s="339"/>
    </row>
    <row r="31" spans="2:29">
      <c r="B31" s="62" t="s">
        <v>114</v>
      </c>
      <c r="C31" s="63"/>
      <c r="D31" s="63"/>
      <c r="E31" s="63"/>
      <c r="F31" s="63"/>
      <c r="G31" s="63"/>
      <c r="H31" s="63"/>
      <c r="M31" s="339"/>
      <c r="N31" s="339"/>
      <c r="P31" s="45"/>
      <c r="Q31" s="45"/>
      <c r="R31" s="45" t="s">
        <v>422</v>
      </c>
      <c r="S31" s="220">
        <v>30</v>
      </c>
      <c r="T31" s="45"/>
      <c r="U31" s="45"/>
      <c r="V31" s="339"/>
      <c r="W31" s="339"/>
      <c r="X31" s="339"/>
      <c r="Y31" s="339"/>
    </row>
    <row r="32" spans="2:29">
      <c r="J32" s="69" t="s">
        <v>271</v>
      </c>
      <c r="K32" s="70"/>
      <c r="M32" s="339"/>
      <c r="N32" s="339"/>
      <c r="P32" s="45"/>
      <c r="Q32" s="45"/>
      <c r="R32" s="45" t="s">
        <v>454</v>
      </c>
      <c r="S32" s="373">
        <v>7.4999999999999997E-2</v>
      </c>
      <c r="T32" s="45"/>
      <c r="U32" s="45"/>
      <c r="V32" s="339"/>
      <c r="W32" s="339"/>
      <c r="X32" s="339"/>
      <c r="Y32" s="339"/>
    </row>
    <row r="33" spans="2:25">
      <c r="B33" s="67" t="s">
        <v>113</v>
      </c>
      <c r="C33" s="67" t="s">
        <v>102</v>
      </c>
      <c r="D33" s="56" t="s">
        <v>119</v>
      </c>
      <c r="J33" s="40" t="s">
        <v>249</v>
      </c>
      <c r="K33" s="59">
        <v>2</v>
      </c>
      <c r="M33" s="339"/>
      <c r="N33" s="339"/>
      <c r="P33" s="45"/>
      <c r="Q33" s="45"/>
      <c r="R33" s="45"/>
      <c r="S33" s="45"/>
      <c r="T33" s="45"/>
      <c r="U33" s="45"/>
      <c r="V33" s="339"/>
      <c r="W33" s="339"/>
      <c r="X33" s="339"/>
      <c r="Y33" s="339"/>
    </row>
    <row r="34" spans="2:25">
      <c r="B34" s="40" t="s">
        <v>112</v>
      </c>
      <c r="C34" s="59">
        <v>30</v>
      </c>
      <c r="J34" s="40" t="s">
        <v>250</v>
      </c>
      <c r="K34" s="59">
        <v>5</v>
      </c>
      <c r="M34" s="339"/>
      <c r="N34" s="339"/>
      <c r="P34" s="45"/>
      <c r="Q34" s="45"/>
      <c r="R34" s="45" t="s">
        <v>529</v>
      </c>
      <c r="S34" s="373">
        <v>0.09</v>
      </c>
      <c r="T34" s="45"/>
      <c r="U34" s="45"/>
      <c r="V34" s="339"/>
      <c r="W34" s="339"/>
      <c r="X34" s="340"/>
      <c r="Y34" s="340"/>
    </row>
    <row r="35" spans="2:25">
      <c r="B35" s="40" t="s">
        <v>111</v>
      </c>
      <c r="C35" s="59">
        <v>10</v>
      </c>
      <c r="J35" s="40" t="s">
        <v>263</v>
      </c>
      <c r="K35" s="59">
        <v>35</v>
      </c>
      <c r="P35" s="45"/>
      <c r="Q35" s="45"/>
      <c r="R35" s="45"/>
      <c r="S35" s="45"/>
      <c r="T35" s="45"/>
      <c r="U35" s="45"/>
      <c r="V35" s="339"/>
      <c r="W35" s="339"/>
      <c r="X35" s="339"/>
      <c r="Y35" s="339"/>
    </row>
    <row r="36" spans="2:25">
      <c r="P36" s="45"/>
      <c r="Q36" s="45"/>
      <c r="R36" s="45"/>
      <c r="S36" s="45"/>
      <c r="T36" s="45"/>
      <c r="U36" s="45"/>
      <c r="V36" s="339"/>
      <c r="W36" s="339"/>
      <c r="X36" s="339"/>
      <c r="Y36" s="339"/>
    </row>
    <row r="37" spans="2:25">
      <c r="B37" s="62" t="s">
        <v>116</v>
      </c>
      <c r="C37" s="63"/>
      <c r="D37" s="63"/>
      <c r="E37" s="63"/>
      <c r="F37" s="63"/>
      <c r="G37" s="63"/>
      <c r="H37" s="63"/>
      <c r="P37" s="45"/>
      <c r="Q37" s="45"/>
      <c r="R37" s="45"/>
      <c r="S37" s="45"/>
      <c r="T37" s="45"/>
      <c r="U37" s="45"/>
      <c r="V37" s="339"/>
      <c r="W37" s="339"/>
      <c r="X37" s="339"/>
      <c r="Y37" s="339"/>
    </row>
    <row r="38" spans="2:25">
      <c r="E38" s="630"/>
      <c r="F38" s="630"/>
      <c r="G38" s="630"/>
      <c r="S38" s="45"/>
      <c r="T38" s="45"/>
      <c r="U38" s="45"/>
      <c r="V38" s="339"/>
      <c r="W38" s="339"/>
      <c r="X38" s="339"/>
      <c r="Y38" s="339"/>
    </row>
    <row r="39" spans="2:25">
      <c r="B39" s="68" t="s">
        <v>117</v>
      </c>
      <c r="C39" s="68" t="s">
        <v>118</v>
      </c>
      <c r="D39" s="68" t="s">
        <v>119</v>
      </c>
      <c r="E39" s="68" t="s">
        <v>227</v>
      </c>
      <c r="F39" s="68" t="s">
        <v>228</v>
      </c>
      <c r="G39" s="68" t="s">
        <v>229</v>
      </c>
      <c r="J39" s="69" t="s">
        <v>178</v>
      </c>
      <c r="K39" s="69"/>
      <c r="S39" s="45"/>
      <c r="T39" s="45"/>
      <c r="U39" s="45"/>
      <c r="V39" s="339"/>
      <c r="W39" s="339"/>
      <c r="X39" s="339"/>
      <c r="Y39" s="339"/>
    </row>
    <row r="40" spans="2:25">
      <c r="B40" s="40" t="s">
        <v>166</v>
      </c>
      <c r="C40" s="59">
        <v>30</v>
      </c>
      <c r="D40" s="59">
        <v>10</v>
      </c>
      <c r="E40" s="179">
        <f>summary!AC17</f>
        <v>592801.2378</v>
      </c>
      <c r="F40" s="215">
        <f>E40/$E$43</f>
        <v>0.84286734605827329</v>
      </c>
      <c r="G40" s="214">
        <f>C40*F40</f>
        <v>25.286020381748198</v>
      </c>
      <c r="J40" s="40" t="s">
        <v>177</v>
      </c>
      <c r="K40" s="79">
        <v>0.02</v>
      </c>
      <c r="S40" s="45"/>
      <c r="T40" s="45"/>
      <c r="U40" s="45"/>
      <c r="V40" s="339"/>
      <c r="W40" s="339"/>
      <c r="X40" s="339"/>
      <c r="Y40" s="339"/>
    </row>
    <row r="41" spans="2:25">
      <c r="B41" s="40" t="s">
        <v>143</v>
      </c>
      <c r="C41" s="59">
        <v>20</v>
      </c>
      <c r="D41" s="59">
        <v>10</v>
      </c>
      <c r="E41" s="179">
        <f>summary!AC18</f>
        <v>67799.750700000004</v>
      </c>
      <c r="F41" s="215">
        <f t="shared" ref="F41:F42" si="4">E41/$E$43</f>
        <v>9.6400264189734394E-2</v>
      </c>
      <c r="G41" s="214">
        <f t="shared" ref="G41:G42" si="5">C41*F41</f>
        <v>1.9280052837946879</v>
      </c>
      <c r="S41" s="45"/>
      <c r="T41" s="45"/>
      <c r="U41" s="45"/>
      <c r="V41" s="339"/>
      <c r="W41" s="339"/>
      <c r="X41" s="339"/>
      <c r="Y41" s="339"/>
    </row>
    <row r="42" spans="2:25">
      <c r="B42" s="40" t="s">
        <v>144</v>
      </c>
      <c r="C42" s="59">
        <v>25</v>
      </c>
      <c r="D42" s="59">
        <v>10</v>
      </c>
      <c r="E42" s="179">
        <f>summary!AC19</f>
        <v>42714</v>
      </c>
      <c r="F42" s="215">
        <f t="shared" si="4"/>
        <v>6.0732389751992327E-2</v>
      </c>
      <c r="G42" s="214">
        <f t="shared" si="5"/>
        <v>1.5183097437998081</v>
      </c>
      <c r="J42" s="69" t="s">
        <v>204</v>
      </c>
      <c r="K42" s="69"/>
      <c r="L42" s="69"/>
      <c r="M42" s="69"/>
      <c r="P42" s="45"/>
      <c r="Q42" s="45"/>
      <c r="R42" s="45"/>
      <c r="S42" s="45"/>
      <c r="T42" s="45"/>
      <c r="U42" s="45"/>
      <c r="V42" s="339"/>
      <c r="W42" s="339"/>
      <c r="X42" s="340"/>
      <c r="Y42" s="340"/>
    </row>
    <row r="43" spans="2:25">
      <c r="E43" s="179">
        <f>SUM(E40:E42)</f>
        <v>703314.98849999998</v>
      </c>
      <c r="F43" s="213"/>
      <c r="G43" s="216">
        <f>SUM(G40:G42)</f>
        <v>28.732335409342692</v>
      </c>
      <c r="J43" s="40" t="s">
        <v>203</v>
      </c>
      <c r="K43" s="80">
        <v>0.2</v>
      </c>
      <c r="P43" s="45"/>
      <c r="Q43" s="45"/>
      <c r="R43" s="45"/>
      <c r="S43" s="45"/>
      <c r="T43" s="45"/>
      <c r="U43" s="45"/>
      <c r="V43" s="45"/>
      <c r="W43" s="45"/>
      <c r="X43" s="45"/>
    </row>
    <row r="44" spans="2:25">
      <c r="B44" s="62" t="s">
        <v>120</v>
      </c>
      <c r="C44" s="63"/>
      <c r="D44" s="63"/>
      <c r="E44" s="63"/>
      <c r="F44" s="63"/>
      <c r="G44" s="63"/>
      <c r="H44" s="63"/>
      <c r="J44" s="40" t="s">
        <v>156</v>
      </c>
      <c r="K44" s="80">
        <v>0.1</v>
      </c>
      <c r="N44" s="40" t="s">
        <v>285</v>
      </c>
      <c r="P44" s="45"/>
      <c r="Q44" s="45"/>
      <c r="R44" s="45"/>
      <c r="S44" s="45"/>
      <c r="T44" s="45"/>
      <c r="U44" s="45"/>
      <c r="V44" s="45"/>
      <c r="W44" s="45"/>
      <c r="X44" s="45"/>
    </row>
    <row r="45" spans="2:25">
      <c r="J45" s="45" t="s">
        <v>190</v>
      </c>
      <c r="K45" s="373">
        <v>5.0000000000000001E-3</v>
      </c>
      <c r="L45" s="45"/>
      <c r="M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2:25">
      <c r="B46" s="56" t="s">
        <v>129</v>
      </c>
      <c r="C46" s="56" t="s">
        <v>122</v>
      </c>
      <c r="D46" s="56"/>
      <c r="P46" s="45"/>
      <c r="Q46" s="45"/>
      <c r="R46" s="45"/>
      <c r="S46" s="45"/>
    </row>
    <row r="47" spans="2:25">
      <c r="B47" s="40" t="s">
        <v>227</v>
      </c>
      <c r="C47" s="218">
        <f>summary!AC20</f>
        <v>362983.65230000002</v>
      </c>
      <c r="J47" s="69" t="s">
        <v>186</v>
      </c>
      <c r="K47" s="69"/>
      <c r="P47" s="45"/>
      <c r="Q47" s="45"/>
      <c r="R47" s="45"/>
      <c r="S47" s="45"/>
    </row>
    <row r="48" spans="2:25">
      <c r="B48" s="40" t="s">
        <v>192</v>
      </c>
      <c r="C48" s="219">
        <f>S12</f>
        <v>0.25</v>
      </c>
      <c r="O48" s="45"/>
      <c r="P48" s="45"/>
      <c r="Q48" s="45"/>
      <c r="R48" s="45"/>
      <c r="S48" s="45"/>
    </row>
    <row r="49" spans="2:25">
      <c r="B49" s="40" t="s">
        <v>230</v>
      </c>
      <c r="C49" s="179">
        <f>C47*(1-C48)</f>
        <v>272237.73922500003</v>
      </c>
      <c r="J49" s="40" t="s">
        <v>219</v>
      </c>
      <c r="K49" s="58">
        <v>10</v>
      </c>
      <c r="P49" s="45"/>
      <c r="Q49" s="45"/>
      <c r="R49" s="45"/>
      <c r="S49" s="45"/>
    </row>
    <row r="50" spans="2:25">
      <c r="B50" s="40" t="s">
        <v>217</v>
      </c>
      <c r="C50" s="48">
        <v>325</v>
      </c>
      <c r="J50" s="40" t="s">
        <v>187</v>
      </c>
      <c r="K50" s="58">
        <v>10</v>
      </c>
      <c r="P50" s="45"/>
      <c r="Q50" s="45"/>
      <c r="R50" s="45"/>
      <c r="S50" s="45"/>
    </row>
    <row r="51" spans="2:25">
      <c r="B51" s="40" t="s">
        <v>231</v>
      </c>
      <c r="C51" s="179">
        <f>C49/C50</f>
        <v>837.65458223076928</v>
      </c>
      <c r="J51" s="40" t="s">
        <v>188</v>
      </c>
      <c r="K51" s="80">
        <v>2.5000000000000001E-2</v>
      </c>
      <c r="P51" s="45"/>
      <c r="Q51" s="45"/>
      <c r="R51" s="45"/>
      <c r="S51" s="45"/>
    </row>
    <row r="52" spans="2:25">
      <c r="B52" s="40" t="s">
        <v>121</v>
      </c>
      <c r="C52" s="59">
        <v>150</v>
      </c>
      <c r="J52" s="40" t="s">
        <v>267</v>
      </c>
      <c r="K52" s="80">
        <v>0.05</v>
      </c>
    </row>
    <row r="53" spans="2:25">
      <c r="B53" s="40" t="s">
        <v>232</v>
      </c>
      <c r="C53" s="59"/>
      <c r="J53" s="40" t="s">
        <v>220</v>
      </c>
      <c r="K53" s="80">
        <v>0.05</v>
      </c>
    </row>
    <row r="54" spans="2:25">
      <c r="D54" s="59"/>
    </row>
    <row r="55" spans="2:25">
      <c r="B55" s="56" t="s">
        <v>123</v>
      </c>
      <c r="C55" s="56" t="s">
        <v>128</v>
      </c>
      <c r="D55" s="56" t="s">
        <v>130</v>
      </c>
    </row>
    <row r="56" spans="2:25">
      <c r="B56" s="40" t="s">
        <v>126</v>
      </c>
      <c r="C56" s="47">
        <v>0.3</v>
      </c>
      <c r="D56" s="47">
        <v>0.15</v>
      </c>
    </row>
    <row r="57" spans="2:25">
      <c r="B57" s="40" t="s">
        <v>127</v>
      </c>
      <c r="C57" s="47">
        <v>0.1</v>
      </c>
      <c r="D57" s="47">
        <v>0.15</v>
      </c>
    </row>
    <row r="58" spans="2:25">
      <c r="O58" s="46"/>
      <c r="P58" s="46"/>
      <c r="Q58" s="46"/>
      <c r="R58" s="46"/>
      <c r="S58" s="46"/>
      <c r="T58" s="46"/>
      <c r="U58" s="46"/>
      <c r="X58" s="46"/>
      <c r="Y58" s="359"/>
    </row>
    <row r="59" spans="2:25">
      <c r="B59" s="62" t="s">
        <v>132</v>
      </c>
      <c r="C59" s="63"/>
      <c r="D59" s="63"/>
      <c r="E59" s="63"/>
      <c r="F59" s="63"/>
      <c r="G59" s="63"/>
      <c r="H59" s="63"/>
      <c r="J59" s="69" t="s">
        <v>132</v>
      </c>
      <c r="K59" s="69"/>
      <c r="L59" s="69"/>
      <c r="M59" s="69"/>
      <c r="N59" s="69"/>
      <c r="O59" s="69"/>
    </row>
    <row r="60" spans="2:25">
      <c r="M60" s="626" t="s">
        <v>89</v>
      </c>
      <c r="N60" s="626"/>
      <c r="O60" s="626"/>
    </row>
    <row r="61" spans="2:25">
      <c r="B61" s="56" t="s">
        <v>402</v>
      </c>
      <c r="C61" s="56" t="s">
        <v>401</v>
      </c>
      <c r="D61" s="56" t="s">
        <v>403</v>
      </c>
      <c r="E61" s="56" t="s">
        <v>133</v>
      </c>
      <c r="F61" s="56" t="s">
        <v>134</v>
      </c>
      <c r="G61" s="56" t="s">
        <v>135</v>
      </c>
      <c r="H61" s="56" t="s">
        <v>136</v>
      </c>
      <c r="J61" s="357" t="s">
        <v>94</v>
      </c>
      <c r="K61" s="357" t="s">
        <v>210</v>
      </c>
      <c r="L61" s="357" t="s">
        <v>211</v>
      </c>
      <c r="M61" s="357">
        <v>1</v>
      </c>
      <c r="N61" s="357">
        <v>2</v>
      </c>
      <c r="O61" s="357">
        <v>3</v>
      </c>
    </row>
    <row r="62" spans="2:25">
      <c r="B62" s="47">
        <v>0.6</v>
      </c>
      <c r="C62" s="58">
        <v>200</v>
      </c>
      <c r="D62" s="47">
        <v>0.8</v>
      </c>
      <c r="E62" s="60">
        <v>15</v>
      </c>
      <c r="F62" s="47">
        <v>0.4</v>
      </c>
      <c r="G62" s="60">
        <f>8*30</f>
        <v>240</v>
      </c>
      <c r="H62" s="47">
        <v>0.6</v>
      </c>
      <c r="J62" s="359" t="s">
        <v>106</v>
      </c>
      <c r="K62" s="360">
        <v>1</v>
      </c>
      <c r="L62" s="82" t="s">
        <v>212</v>
      </c>
      <c r="M62" s="50">
        <f>(summary!B11*(1-AVERAGE(S7:S9))/$C$29)</f>
        <v>1051.6628783278131</v>
      </c>
      <c r="N62" s="50">
        <f>summary!C11*(1-AVERAGE(S7:S9))/$C$29</f>
        <v>630.10377580347574</v>
      </c>
      <c r="O62" s="50">
        <f>summary!D11*(1-AVERAGE(S7:S9))/$C$29</f>
        <v>373.29500232137576</v>
      </c>
    </row>
    <row r="63" spans="2:25">
      <c r="C63" s="58"/>
      <c r="D63" s="60"/>
      <c r="E63" s="47"/>
      <c r="F63" s="60"/>
      <c r="G63" s="47"/>
      <c r="J63" s="46" t="s">
        <v>110</v>
      </c>
      <c r="K63" s="82">
        <v>2</v>
      </c>
      <c r="L63" s="82">
        <v>1000</v>
      </c>
      <c r="M63" s="50">
        <f>(summary!B15/1000)*2</f>
        <v>1207.4181869999998</v>
      </c>
      <c r="N63" s="50">
        <f>(summary!C15/1000)*2</f>
        <v>731.73877900000014</v>
      </c>
      <c r="O63" s="50">
        <f>(summary!D15/1000)*2</f>
        <v>1350.9376331999999</v>
      </c>
    </row>
    <row r="64" spans="2:25">
      <c r="C64" s="58"/>
      <c r="D64" s="60"/>
      <c r="E64" s="354"/>
      <c r="F64" s="353" t="s">
        <v>405</v>
      </c>
      <c r="G64" s="60">
        <f>((E62*30)*F62)+(G62*H62)</f>
        <v>324</v>
      </c>
      <c r="H64" s="47"/>
      <c r="J64" s="46" t="s">
        <v>145</v>
      </c>
      <c r="K64" s="82" t="s">
        <v>209</v>
      </c>
      <c r="L64" s="82" t="s">
        <v>212</v>
      </c>
      <c r="M64" s="361">
        <f>summary!B20/$C$50*0.5</f>
        <v>215.02087399999999</v>
      </c>
      <c r="N64" s="361">
        <f>summary!C20/$C$50*0.5</f>
        <v>343.41551415384617</v>
      </c>
      <c r="O64" s="361">
        <f>summary!D20/$C$50*0.5</f>
        <v>0</v>
      </c>
    </row>
    <row r="65" spans="2:15">
      <c r="C65" s="58"/>
      <c r="D65" s="60"/>
      <c r="E65" s="47"/>
      <c r="F65" s="60"/>
      <c r="G65" s="60"/>
      <c r="H65" s="47"/>
      <c r="J65" s="46" t="s">
        <v>142</v>
      </c>
      <c r="K65" s="82">
        <v>1</v>
      </c>
      <c r="L65" s="82">
        <v>1000</v>
      </c>
      <c r="M65" s="358">
        <f>summary!B16/1000</f>
        <v>410.70043999999996</v>
      </c>
      <c r="N65" s="358">
        <f>summary!C16/1000</f>
        <v>230.90169770000003</v>
      </c>
      <c r="O65" s="358">
        <f>summary!D16/1000</f>
        <v>61.712850799999998</v>
      </c>
    </row>
    <row r="66" spans="2:15">
      <c r="M66" s="44">
        <f>SUM(M62:M65)</f>
        <v>2884.802379327813</v>
      </c>
      <c r="N66" s="44">
        <f>SUM(N62:N65)</f>
        <v>1936.1597666573221</v>
      </c>
      <c r="O66" s="44">
        <f>SUM(O62:O65)</f>
        <v>1785.9454863213757</v>
      </c>
    </row>
    <row r="67" spans="2:15">
      <c r="B67" s="62" t="s">
        <v>146</v>
      </c>
      <c r="C67" s="63"/>
      <c r="D67" s="63"/>
      <c r="E67" s="63"/>
      <c r="F67" s="63"/>
      <c r="G67" s="63"/>
      <c r="H67" s="63"/>
      <c r="O67" s="168">
        <f>SUM(M66:O66)</f>
        <v>6606.907632306511</v>
      </c>
    </row>
    <row r="69" spans="2:15">
      <c r="B69" s="56" t="s">
        <v>137</v>
      </c>
      <c r="C69" s="55"/>
      <c r="E69" s="56" t="s">
        <v>288</v>
      </c>
      <c r="F69" s="56" t="s">
        <v>290</v>
      </c>
    </row>
    <row r="70" spans="2:15">
      <c r="B70" s="40" t="s">
        <v>138</v>
      </c>
      <c r="C70" s="48">
        <v>300</v>
      </c>
      <c r="E70" s="40" t="s">
        <v>289</v>
      </c>
      <c r="F70" s="48">
        <v>1000</v>
      </c>
    </row>
    <row r="71" spans="2:15">
      <c r="B71" s="40" t="s">
        <v>139</v>
      </c>
      <c r="C71" s="61">
        <f>C70*365</f>
        <v>109500</v>
      </c>
    </row>
    <row r="72" spans="2:15">
      <c r="E72" s="40" t="s">
        <v>294</v>
      </c>
      <c r="F72" s="58">
        <v>5</v>
      </c>
    </row>
    <row r="73" spans="2:15">
      <c r="B73" s="56" t="s">
        <v>140</v>
      </c>
      <c r="C73" s="55"/>
      <c r="E73" s="40" t="s">
        <v>295</v>
      </c>
      <c r="F73" s="58">
        <v>8</v>
      </c>
    </row>
    <row r="74" spans="2:15">
      <c r="B74" s="40" t="s">
        <v>138</v>
      </c>
      <c r="C74" s="48">
        <v>300</v>
      </c>
      <c r="E74" s="40" t="s">
        <v>296</v>
      </c>
      <c r="F74" s="60">
        <v>15</v>
      </c>
    </row>
    <row r="75" spans="2:15">
      <c r="B75" s="40" t="s">
        <v>139</v>
      </c>
      <c r="C75" s="61">
        <f>C74*365</f>
        <v>109500</v>
      </c>
      <c r="E75" s="40" t="s">
        <v>297</v>
      </c>
      <c r="F75" s="58">
        <v>364</v>
      </c>
    </row>
    <row r="76" spans="2:15">
      <c r="E76" s="40" t="s">
        <v>300</v>
      </c>
      <c r="F76" s="40">
        <f>F72*F73*F74*F75</f>
        <v>218400</v>
      </c>
    </row>
    <row r="77" spans="2:15">
      <c r="B77" s="56" t="s">
        <v>140</v>
      </c>
      <c r="C77" s="55"/>
    </row>
    <row r="78" spans="2:15">
      <c r="B78" s="40" t="s">
        <v>138</v>
      </c>
      <c r="C78" s="218">
        <v>500</v>
      </c>
      <c r="E78" s="40" t="s">
        <v>298</v>
      </c>
      <c r="F78" s="58">
        <v>2</v>
      </c>
    </row>
    <row r="79" spans="2:15">
      <c r="B79" s="40" t="s">
        <v>139</v>
      </c>
      <c r="C79" s="61">
        <f>C78*365</f>
        <v>182500</v>
      </c>
      <c r="E79" s="40" t="s">
        <v>299</v>
      </c>
      <c r="F79" s="60">
        <v>50000</v>
      </c>
    </row>
    <row r="80" spans="2:15">
      <c r="B80" s="40" t="s">
        <v>292</v>
      </c>
      <c r="C80" s="59">
        <v>1</v>
      </c>
      <c r="E80" s="40" t="s">
        <v>300</v>
      </c>
      <c r="F80" s="256">
        <f>F78*F79</f>
        <v>100000</v>
      </c>
    </row>
    <row r="81" spans="2:6">
      <c r="C81" s="47"/>
    </row>
    <row r="82" spans="2:6">
      <c r="E82" s="40" t="s">
        <v>301</v>
      </c>
      <c r="F82" s="256">
        <f>F76+F80</f>
        <v>318400</v>
      </c>
    </row>
    <row r="83" spans="2:6">
      <c r="E83" s="40" t="s">
        <v>302</v>
      </c>
      <c r="F83" s="256">
        <f>F82/12</f>
        <v>26533.333333333332</v>
      </c>
    </row>
    <row r="85" spans="2:6" ht="14.4">
      <c r="B85" s="8"/>
    </row>
    <row r="86" spans="2:6" ht="14.4">
      <c r="B86" s="175"/>
    </row>
    <row r="87" spans="2:6" ht="14.4">
      <c r="B87" s="175"/>
    </row>
    <row r="88" spans="2:6" ht="14.4">
      <c r="B88" s="175"/>
    </row>
    <row r="89" spans="2:6" ht="14.4">
      <c r="B89" s="8"/>
    </row>
    <row r="90" spans="2:6" ht="14.4">
      <c r="B90" s="8"/>
    </row>
    <row r="91" spans="2:6" ht="14.4">
      <c r="B91" s="8"/>
    </row>
    <row r="92" spans="2:6" ht="14.4">
      <c r="B92" s="8"/>
    </row>
    <row r="93" spans="2:6" ht="14.4">
      <c r="B93" s="8"/>
    </row>
  </sheetData>
  <mergeCells count="3">
    <mergeCell ref="E38:G38"/>
    <mergeCell ref="M60:O60"/>
    <mergeCell ref="Z5:AC5"/>
  </mergeCells>
  <pageMargins left="0.7" right="0.7" top="0.75" bottom="0.75" header="0.3" footer="0.3"/>
  <pageSetup orientation="portrait" r:id="rId1"/>
  <ignoredErrors>
    <ignoredError sqref="M25:N26 M62:O6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1E07-C16D-4F29-8379-E0384A796143}">
  <sheetPr>
    <tabColor theme="9"/>
  </sheetPr>
  <dimension ref="A1"/>
  <sheetViews>
    <sheetView showGridLines="0" zoomScale="70" zoomScaleNormal="70" workbookViewId="0">
      <selection activeCell="G15" sqref="G15"/>
    </sheetView>
    <sheetView workbookViewId="1"/>
  </sheetViews>
  <sheetFormatPr defaultRowHeight="14.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577AA-97BF-4140-AB95-3C19111324D6}">
  <sheetPr>
    <tabColor theme="9" tint="0.59999389629810485"/>
  </sheetPr>
  <dimension ref="A2:R177"/>
  <sheetViews>
    <sheetView showGridLines="0" zoomScale="70" zoomScaleNormal="70" zoomScaleSheetLayoutView="85" workbookViewId="0">
      <pane ySplit="2" topLeftCell="A11" activePane="bottomLeft" state="frozen"/>
      <selection activeCell="G15" sqref="G15"/>
      <selection pane="bottomLeft" activeCell="F177" sqref="F177"/>
    </sheetView>
    <sheetView topLeftCell="A5" zoomScale="80" zoomScaleNormal="80" workbookViewId="1">
      <selection activeCell="C182" sqref="C182"/>
    </sheetView>
  </sheetViews>
  <sheetFormatPr defaultColWidth="8.734375" defaultRowHeight="9" outlineLevelRow="1"/>
  <cols>
    <col min="1" max="1" width="8.734375" style="120"/>
    <col min="2" max="2" width="26" style="120" customWidth="1"/>
    <col min="3" max="3" width="10.1015625" style="120" customWidth="1"/>
    <col min="4" max="4" width="8.89453125" style="120" bestFit="1" customWidth="1"/>
    <col min="5" max="5" width="11.62890625" style="120" bestFit="1" customWidth="1"/>
    <col min="6" max="6" width="11.15625" style="120" bestFit="1" customWidth="1"/>
    <col min="7" max="8" width="10.7890625" style="120" bestFit="1" customWidth="1"/>
    <col min="9" max="9" width="11.15625" style="120" bestFit="1" customWidth="1"/>
    <col min="10" max="10" width="10" style="120" bestFit="1" customWidth="1"/>
    <col min="11" max="11" width="11.15625" style="120" bestFit="1" customWidth="1"/>
    <col min="12" max="12" width="11" style="120" bestFit="1" customWidth="1"/>
    <col min="13" max="13" width="10.3671875" style="120" bestFit="1" customWidth="1"/>
    <col min="14" max="14" width="12.15625" style="120" bestFit="1" customWidth="1"/>
    <col min="15" max="15" width="2.89453125" style="120" customWidth="1"/>
    <col min="16" max="16" width="21.62890625" style="346" customWidth="1"/>
    <col min="17" max="17" width="13.15625" style="120" customWidth="1"/>
    <col min="18" max="16384" width="8.734375" style="120"/>
  </cols>
  <sheetData>
    <row r="2" spans="1:18">
      <c r="D2" s="118">
        <v>0</v>
      </c>
      <c r="E2" s="118">
        <v>1</v>
      </c>
      <c r="F2" s="118">
        <v>2</v>
      </c>
      <c r="G2" s="118">
        <v>3</v>
      </c>
      <c r="H2" s="118">
        <v>4</v>
      </c>
      <c r="I2" s="118">
        <v>5</v>
      </c>
      <c r="J2" s="118">
        <v>6</v>
      </c>
      <c r="K2" s="118">
        <v>7</v>
      </c>
      <c r="L2" s="118">
        <v>8</v>
      </c>
      <c r="M2" s="118">
        <v>9</v>
      </c>
      <c r="N2" s="118">
        <v>10</v>
      </c>
    </row>
    <row r="3" spans="1:18">
      <c r="A3" s="120">
        <v>1</v>
      </c>
      <c r="B3" s="280" t="s">
        <v>221</v>
      </c>
      <c r="C3" s="280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P3" s="389" t="s">
        <v>424</v>
      </c>
      <c r="Q3" s="279"/>
    </row>
    <row r="4" spans="1:18">
      <c r="B4" s="118" t="s">
        <v>273</v>
      </c>
    </row>
    <row r="5" spans="1:18">
      <c r="B5" s="134" t="s">
        <v>165</v>
      </c>
      <c r="C5" s="134"/>
      <c r="D5" s="224">
        <f>'res, market-rate'!E16</f>
        <v>0</v>
      </c>
      <c r="E5" s="224">
        <f>'res, market-rate'!F16</f>
        <v>0</v>
      </c>
      <c r="F5" s="224">
        <f>'res, market-rate'!G16</f>
        <v>0</v>
      </c>
      <c r="G5" s="224">
        <f>'res, market-rate'!H16</f>
        <v>2997586.7861802797</v>
      </c>
      <c r="H5" s="224">
        <f>'res, market-rate'!I16</f>
        <v>10126442.127292678</v>
      </c>
      <c r="I5" s="224">
        <f>'res, market-rate'!J16</f>
        <v>10328970.96983853</v>
      </c>
      <c r="J5" s="224">
        <f>'res, market-rate'!K16</f>
        <v>10535550.389235307</v>
      </c>
      <c r="K5" s="224">
        <f>'res, market-rate'!L16</f>
        <v>10746261.39702001</v>
      </c>
      <c r="L5" s="224">
        <f>'res, market-rate'!M16</f>
        <v>10961186.624960409</v>
      </c>
      <c r="M5" s="224">
        <f>'res, market-rate'!N16</f>
        <v>11180410.357459616</v>
      </c>
      <c r="N5" s="224">
        <f>'res, market-rate'!O16</f>
        <v>11404018.564608809</v>
      </c>
      <c r="P5" s="387" t="s">
        <v>172</v>
      </c>
    </row>
    <row r="6" spans="1:18">
      <c r="B6" s="134" t="s">
        <v>157</v>
      </c>
      <c r="C6" s="134"/>
      <c r="D6" s="224">
        <f>'res, condo'!E19</f>
        <v>0</v>
      </c>
      <c r="E6" s="224">
        <f>'res, condo'!F19</f>
        <v>0</v>
      </c>
      <c r="F6" s="224">
        <f>'res, condo'!G19</f>
        <v>0</v>
      </c>
      <c r="G6" s="224">
        <f>'res, condo'!H19</f>
        <v>17681425.953927357</v>
      </c>
      <c r="H6" s="224">
        <f>'res, condo'!I19</f>
        <v>18035054.473005902</v>
      </c>
      <c r="I6" s="224">
        <f>'res, condo'!J19</f>
        <v>0</v>
      </c>
      <c r="J6" s="224">
        <f>'res, condo'!K19</f>
        <v>0</v>
      </c>
      <c r="K6" s="224">
        <f>'res, condo'!L19</f>
        <v>0</v>
      </c>
      <c r="L6" s="224">
        <f>'res, condo'!M19</f>
        <v>0</v>
      </c>
      <c r="M6" s="224">
        <f>'res, condo'!N19</f>
        <v>0</v>
      </c>
      <c r="N6" s="224">
        <f>'res, condo'!O19</f>
        <v>0</v>
      </c>
      <c r="P6" s="346" t="s">
        <v>278</v>
      </c>
      <c r="Q6" s="420">
        <f>ABS(SUM(E35:F35,E37:F37))</f>
        <v>459363023.39844978</v>
      </c>
    </row>
    <row r="7" spans="1:18">
      <c r="B7" s="134" t="s">
        <v>141</v>
      </c>
      <c r="C7" s="134"/>
      <c r="D7" s="224">
        <f>'res, affordable'!E16</f>
        <v>0</v>
      </c>
      <c r="E7" s="224">
        <f>'res, affordable'!F16</f>
        <v>0</v>
      </c>
      <c r="F7" s="224">
        <f>'res, affordable'!G16</f>
        <v>0</v>
      </c>
      <c r="G7" s="224">
        <f>'res, affordable'!H16</f>
        <v>1088068.6319396391</v>
      </c>
      <c r="H7" s="224">
        <f>'res, affordable'!I16</f>
        <v>1109830.0045784318</v>
      </c>
      <c r="I7" s="224">
        <f>'res, affordable'!J16</f>
        <v>1132026.6046700005</v>
      </c>
      <c r="J7" s="224">
        <f>'res, affordable'!K16</f>
        <v>1154667.1367634004</v>
      </c>
      <c r="K7" s="224">
        <f>'res, affordable'!L16</f>
        <v>1177760.4794986686</v>
      </c>
      <c r="L7" s="224">
        <f>'res, affordable'!M16</f>
        <v>1201315.6890886417</v>
      </c>
      <c r="M7" s="224">
        <f>'res, affordable'!N16</f>
        <v>1225342.0028704144</v>
      </c>
      <c r="N7" s="224">
        <f>'res, affordable'!O16</f>
        <v>1249848.8429278228</v>
      </c>
      <c r="P7" s="346" t="s">
        <v>420</v>
      </c>
      <c r="Q7" s="222">
        <f>Loantocost</f>
        <v>0.55000000000000004</v>
      </c>
    </row>
    <row r="8" spans="1:18">
      <c r="B8" s="134" t="s">
        <v>2</v>
      </c>
      <c r="C8" s="134"/>
      <c r="D8" s="224">
        <f>office!E18</f>
        <v>0</v>
      </c>
      <c r="E8" s="224">
        <f>office!F18</f>
        <v>0</v>
      </c>
      <c r="F8" s="224">
        <f>office!G18</f>
        <v>0</v>
      </c>
      <c r="G8" s="224">
        <f>office!H18</f>
        <v>5690064.8940519439</v>
      </c>
      <c r="H8" s="224">
        <f>office!I18</f>
        <v>11607732.383865964</v>
      </c>
      <c r="I8" s="224">
        <f>office!J18</f>
        <v>17759830.547314927</v>
      </c>
      <c r="J8" s="224">
        <f>office!K18</f>
        <v>18115027.158261225</v>
      </c>
      <c r="K8" s="224">
        <f>office!L18</f>
        <v>18477327.701426454</v>
      </c>
      <c r="L8" s="224">
        <f>office!M18</f>
        <v>18846874.25545498</v>
      </c>
      <c r="M8" s="224">
        <f>office!N18</f>
        <v>19223811.740564086</v>
      </c>
      <c r="N8" s="224">
        <f>office!O18</f>
        <v>19608287.975375358</v>
      </c>
      <c r="P8" s="346" t="s">
        <v>534</v>
      </c>
      <c r="Q8" s="227">
        <f>Q6*Q7</f>
        <v>252649662.86914739</v>
      </c>
    </row>
    <row r="9" spans="1:18">
      <c r="B9" s="134" t="s">
        <v>142</v>
      </c>
      <c r="C9" s="242"/>
      <c r="D9" s="224">
        <f>retail!E18</f>
        <v>0</v>
      </c>
      <c r="E9" s="224">
        <f>retail!F18</f>
        <v>0</v>
      </c>
      <c r="F9" s="224">
        <f>retail!G18</f>
        <v>0</v>
      </c>
      <c r="G9" s="224">
        <f>retail!H18</f>
        <v>6460598.814531249</v>
      </c>
      <c r="H9" s="224">
        <f>retail!I18</f>
        <v>13179621.581643749</v>
      </c>
      <c r="I9" s="224">
        <f>retail!J18</f>
        <v>13443214.013276622</v>
      </c>
      <c r="J9" s="224">
        <f>retail!K18</f>
        <v>13712078.293542158</v>
      </c>
      <c r="K9" s="224">
        <f>retail!L18</f>
        <v>13986319.859413002</v>
      </c>
      <c r="L9" s="224">
        <f>retail!M18</f>
        <v>14266046.256601257</v>
      </c>
      <c r="M9" s="224">
        <f>retail!N18</f>
        <v>14551367.181733282</v>
      </c>
      <c r="N9" s="224">
        <f>retail!O18</f>
        <v>14842394.525367947</v>
      </c>
      <c r="P9" s="346" t="s">
        <v>415</v>
      </c>
      <c r="Q9" s="392" t="s">
        <v>100</v>
      </c>
    </row>
    <row r="10" spans="1:18">
      <c r="B10" s="134" t="s">
        <v>18</v>
      </c>
      <c r="C10" s="134"/>
      <c r="D10" s="224">
        <f>hotel!E19</f>
        <v>0</v>
      </c>
      <c r="E10" s="224">
        <f>hotel!F19</f>
        <v>0</v>
      </c>
      <c r="F10" s="224">
        <f>hotel!G19</f>
        <v>0</v>
      </c>
      <c r="G10" s="224">
        <f>hotel!H19</f>
        <v>3104867.3720046016</v>
      </c>
      <c r="H10" s="224">
        <f>hotel!I19</f>
        <v>3166964.7194446926</v>
      </c>
      <c r="I10" s="224">
        <f>hotel!J19</f>
        <v>3230304.0138335866</v>
      </c>
      <c r="J10" s="224">
        <f>hotel!K19</f>
        <v>3294910.0941102593</v>
      </c>
      <c r="K10" s="224">
        <f>hotel!L19</f>
        <v>3360808.2959924638</v>
      </c>
      <c r="L10" s="224">
        <f>hotel!M19</f>
        <v>3428024.461912313</v>
      </c>
      <c r="M10" s="224">
        <f>hotel!N19</f>
        <v>3496584.9511505603</v>
      </c>
      <c r="N10" s="224">
        <f>hotel!O19</f>
        <v>3566516.650173571</v>
      </c>
      <c r="P10" s="346" t="s">
        <v>416</v>
      </c>
      <c r="Q10" s="223">
        <f>Constructioninterestrate</f>
        <v>0.12</v>
      </c>
    </row>
    <row r="11" spans="1:18">
      <c r="B11" s="134" t="s">
        <v>131</v>
      </c>
      <c r="C11" s="134"/>
      <c r="D11" s="224">
        <f>parking!E18</f>
        <v>0</v>
      </c>
      <c r="E11" s="224">
        <f>parking!F18</f>
        <v>0</v>
      </c>
      <c r="F11" s="224">
        <f>parking!G18</f>
        <v>0</v>
      </c>
      <c r="G11" s="224">
        <f>parking!H18</f>
        <v>0</v>
      </c>
      <c r="H11" s="224">
        <f>parking!I18</f>
        <v>0</v>
      </c>
      <c r="I11" s="224">
        <f>parking!J18</f>
        <v>0</v>
      </c>
      <c r="J11" s="224">
        <f>parking!K18</f>
        <v>0</v>
      </c>
      <c r="K11" s="224">
        <f>parking!L18</f>
        <v>0</v>
      </c>
      <c r="L11" s="224">
        <f>parking!M18</f>
        <v>0</v>
      </c>
      <c r="M11" s="224">
        <f>parking!N18</f>
        <v>0</v>
      </c>
      <c r="N11" s="224">
        <f>parking!O18</f>
        <v>0</v>
      </c>
      <c r="P11" s="346" t="s">
        <v>417</v>
      </c>
      <c r="Q11" s="414">
        <f>Q8*R11</f>
        <v>18948724.715186052</v>
      </c>
      <c r="R11" s="223">
        <f>Constructionservicingfees</f>
        <v>7.4999999999999997E-2</v>
      </c>
    </row>
    <row r="12" spans="1:18">
      <c r="B12" s="134" t="s">
        <v>286</v>
      </c>
      <c r="C12" s="134"/>
      <c r="D12" s="225">
        <f>'public bldgs'!E14</f>
        <v>0</v>
      </c>
      <c r="E12" s="225">
        <f>'public bldgs'!F14</f>
        <v>0</v>
      </c>
      <c r="F12" s="225">
        <f>'public bldgs'!G14</f>
        <v>0</v>
      </c>
      <c r="G12" s="225">
        <f>'public bldgs'!H14</f>
        <v>163308.12</v>
      </c>
      <c r="H12" s="225">
        <f>'public bldgs'!I14</f>
        <v>166574.2824</v>
      </c>
      <c r="I12" s="225">
        <f>'public bldgs'!J14</f>
        <v>169905.768048</v>
      </c>
      <c r="J12" s="225">
        <f>'public bldgs'!K14</f>
        <v>173303.88340896001</v>
      </c>
      <c r="K12" s="225">
        <f>'public bldgs'!L14</f>
        <v>176769.96107713922</v>
      </c>
      <c r="L12" s="225">
        <f>'public bldgs'!M14</f>
        <v>180305.36029868198</v>
      </c>
      <c r="M12" s="225">
        <f>'public bldgs'!N14</f>
        <v>183911.46750465562</v>
      </c>
      <c r="N12" s="225">
        <f>'public bldgs'!O14</f>
        <v>187589.69685474873</v>
      </c>
      <c r="P12" s="346" t="s">
        <v>414</v>
      </c>
      <c r="Q12" s="227">
        <f>Q6-Q8+Q11</f>
        <v>225662085.24448845</v>
      </c>
    </row>
    <row r="13" spans="1:18">
      <c r="B13" s="282" t="s">
        <v>328</v>
      </c>
      <c r="C13" s="134"/>
      <c r="D13" s="224">
        <f>SUM(D5:D12)</f>
        <v>0</v>
      </c>
      <c r="E13" s="224">
        <f t="shared" ref="E13:N13" si="0">SUM(E5:E12)</f>
        <v>0</v>
      </c>
      <c r="F13" s="224">
        <f t="shared" si="0"/>
        <v>0</v>
      </c>
      <c r="G13" s="224">
        <f t="shared" si="0"/>
        <v>37185920.572635062</v>
      </c>
      <c r="H13" s="224">
        <f t="shared" si="0"/>
        <v>57392219.572231412</v>
      </c>
      <c r="I13" s="224">
        <f t="shared" si="0"/>
        <v>46064251.916981675</v>
      </c>
      <c r="J13" s="224">
        <f t="shared" si="0"/>
        <v>46985536.955321312</v>
      </c>
      <c r="K13" s="224">
        <f t="shared" si="0"/>
        <v>47925247.694427736</v>
      </c>
      <c r="L13" s="224">
        <f t="shared" si="0"/>
        <v>48883752.648316279</v>
      </c>
      <c r="M13" s="224">
        <f t="shared" si="0"/>
        <v>49861427.701282613</v>
      </c>
      <c r="N13" s="224">
        <f t="shared" si="0"/>
        <v>50858656.255308248</v>
      </c>
    </row>
    <row r="14" spans="1:18">
      <c r="B14" s="134"/>
      <c r="C14" s="13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</row>
    <row r="15" spans="1:18">
      <c r="B15" s="118" t="s">
        <v>196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</row>
    <row r="16" spans="1:18">
      <c r="B16" s="134" t="s">
        <v>165</v>
      </c>
      <c r="C16" s="134"/>
      <c r="D16" s="224">
        <f>'res, market-rate'!E20</f>
        <v>0</v>
      </c>
      <c r="E16" s="224">
        <f>'res, market-rate'!F20</f>
        <v>0</v>
      </c>
      <c r="F16" s="224">
        <f>'res, market-rate'!G20</f>
        <v>0</v>
      </c>
      <c r="G16" s="224">
        <f>'res, market-rate'!H20</f>
        <v>-23743.118154630942</v>
      </c>
      <c r="H16" s="224">
        <f>'res, market-rate'!I20</f>
        <v>-30476.24121340688</v>
      </c>
      <c r="I16" s="224">
        <f>'res, market-rate'!J20</f>
        <v>-30476.24121340688</v>
      </c>
      <c r="J16" s="224">
        <f>'res, market-rate'!K20</f>
        <v>-30476.24121340688</v>
      </c>
      <c r="K16" s="224">
        <f>'res, market-rate'!L20</f>
        <v>-30476.24121340688</v>
      </c>
      <c r="L16" s="224">
        <f>'res, market-rate'!M20</f>
        <v>-30476.24121340688</v>
      </c>
      <c r="M16" s="224">
        <f>'res, market-rate'!N20</f>
        <v>-30476.24121340688</v>
      </c>
      <c r="N16" s="224">
        <f>'res, market-rate'!O20</f>
        <v>-30476.24121340688</v>
      </c>
      <c r="P16" s="387" t="s">
        <v>173</v>
      </c>
    </row>
    <row r="17" spans="2:18">
      <c r="B17" s="134" t="s">
        <v>157</v>
      </c>
      <c r="C17" s="134"/>
      <c r="D17" s="224">
        <f>'res, condo'!E23</f>
        <v>0</v>
      </c>
      <c r="E17" s="224">
        <f>'res, condo'!F23</f>
        <v>0</v>
      </c>
      <c r="F17" s="224">
        <f>'res, condo'!G23</f>
        <v>0</v>
      </c>
      <c r="G17" s="224">
        <f>'res, condo'!H23</f>
        <v>0</v>
      </c>
      <c r="H17" s="224">
        <f>'res, condo'!I23</f>
        <v>0</v>
      </c>
      <c r="I17" s="224">
        <f>'res, condo'!J23</f>
        <v>0</v>
      </c>
      <c r="J17" s="224">
        <f>'res, condo'!K23</f>
        <v>0</v>
      </c>
      <c r="K17" s="224">
        <f>'res, condo'!L23</f>
        <v>0</v>
      </c>
      <c r="L17" s="224">
        <f>'res, condo'!M23</f>
        <v>0</v>
      </c>
      <c r="M17" s="224">
        <f>'res, condo'!N23</f>
        <v>0</v>
      </c>
      <c r="N17" s="224">
        <f>'res, condo'!O23</f>
        <v>0</v>
      </c>
      <c r="P17" s="346" t="s">
        <v>418</v>
      </c>
      <c r="Q17" s="224">
        <f>SUMIF(D2:N2,phase1stabilizationyear,$D13:$N13)</f>
        <v>46064251.916981675</v>
      </c>
    </row>
    <row r="18" spans="2:18">
      <c r="B18" s="134" t="s">
        <v>141</v>
      </c>
      <c r="C18" s="134"/>
      <c r="D18" s="224">
        <f>'res, affordable'!E20</f>
        <v>0</v>
      </c>
      <c r="E18" s="224">
        <f>'res, affordable'!F20</f>
        <v>0</v>
      </c>
      <c r="F18" s="224">
        <f>'res, affordable'!G20</f>
        <v>0</v>
      </c>
      <c r="G18" s="224">
        <f>'res, affordable'!H20</f>
        <v>-5467.4782790624995</v>
      </c>
      <c r="H18" s="224">
        <f>'res, affordable'!I20</f>
        <v>-5467.4782790624995</v>
      </c>
      <c r="I18" s="224">
        <f>'res, affordable'!J20</f>
        <v>-5467.4782790624995</v>
      </c>
      <c r="J18" s="224">
        <f>'res, affordable'!K20</f>
        <v>-5467.4782790624995</v>
      </c>
      <c r="K18" s="224">
        <f>'res, affordable'!L20</f>
        <v>-5467.4782790624995</v>
      </c>
      <c r="L18" s="224">
        <f>'res, affordable'!M20</f>
        <v>-5467.4782790624995</v>
      </c>
      <c r="M18" s="224">
        <f>'res, affordable'!N20</f>
        <v>-5467.4782790624995</v>
      </c>
      <c r="N18" s="224">
        <f>'res, affordable'!O20</f>
        <v>-5467.4782790624995</v>
      </c>
      <c r="P18" s="346" t="s">
        <v>419</v>
      </c>
      <c r="Q18" s="223">
        <f>blendedcaprate+R18</f>
        <v>8.5718030535887224E-2</v>
      </c>
      <c r="R18" s="554">
        <v>0.01</v>
      </c>
    </row>
    <row r="19" spans="2:18">
      <c r="B19" s="134" t="s">
        <v>2</v>
      </c>
      <c r="C19" s="134"/>
      <c r="D19" s="224">
        <f>office!E22</f>
        <v>0</v>
      </c>
      <c r="E19" s="224">
        <f>office!F22</f>
        <v>0</v>
      </c>
      <c r="F19" s="224">
        <f>office!G22</f>
        <v>0</v>
      </c>
      <c r="G19" s="224">
        <f>office!H22</f>
        <v>-40297.250166249993</v>
      </c>
      <c r="H19" s="224">
        <f>office!I22</f>
        <v>-49194.045657499984</v>
      </c>
      <c r="I19" s="224">
        <f>office!J22</f>
        <v>-58090.841148749983</v>
      </c>
      <c r="J19" s="224">
        <f>office!K22</f>
        <v>-58090.841148749983</v>
      </c>
      <c r="K19" s="224">
        <f>office!L22</f>
        <v>-58090.841148749983</v>
      </c>
      <c r="L19" s="224">
        <f>office!M22</f>
        <v>-58090.841148749983</v>
      </c>
      <c r="M19" s="224">
        <f>office!N22</f>
        <v>-58090.841148749983</v>
      </c>
      <c r="N19" s="224">
        <f>office!O22</f>
        <v>-58090.841148749983</v>
      </c>
      <c r="P19" s="346" t="s">
        <v>240</v>
      </c>
      <c r="Q19" s="227">
        <f>Q17/Q18</f>
        <v>537392793.89645028</v>
      </c>
    </row>
    <row r="20" spans="2:18">
      <c r="B20" s="242" t="s">
        <v>142</v>
      </c>
      <c r="C20" s="242"/>
      <c r="D20" s="224">
        <f>retail!E22</f>
        <v>0</v>
      </c>
      <c r="E20" s="224">
        <f>retail!F22</f>
        <v>0</v>
      </c>
      <c r="F20" s="224">
        <f>retail!G22</f>
        <v>0</v>
      </c>
      <c r="G20" s="224">
        <f>retail!H22</f>
        <v>-31617.173699999999</v>
      </c>
      <c r="H20" s="224">
        <f>retail!I22</f>
        <v>-41798.975399999996</v>
      </c>
      <c r="I20" s="224">
        <f>retail!J22</f>
        <v>-41798.975399999996</v>
      </c>
      <c r="J20" s="224">
        <f>retail!K22</f>
        <v>-41798.975399999996</v>
      </c>
      <c r="K20" s="224">
        <f>retail!L22</f>
        <v>-41798.975399999996</v>
      </c>
      <c r="L20" s="224">
        <f>retail!M22</f>
        <v>-41798.975399999996</v>
      </c>
      <c r="M20" s="224">
        <f>retail!N22</f>
        <v>-41798.975399999996</v>
      </c>
      <c r="N20" s="224">
        <f>retail!O22</f>
        <v>-41798.975399999996</v>
      </c>
      <c r="P20" s="346" t="s">
        <v>421</v>
      </c>
      <c r="Q20" s="388">
        <f>loantovalue</f>
        <v>0.65</v>
      </c>
    </row>
    <row r="21" spans="2:18">
      <c r="B21" s="134" t="s">
        <v>18</v>
      </c>
      <c r="C21" s="134"/>
      <c r="D21" s="224">
        <f>hotel!E23</f>
        <v>0</v>
      </c>
      <c r="E21" s="224">
        <f>hotel!F23</f>
        <v>0</v>
      </c>
      <c r="F21" s="224">
        <f>hotel!G23</f>
        <v>0</v>
      </c>
      <c r="G21" s="224">
        <f>hotel!H23</f>
        <v>-5241.13380375</v>
      </c>
      <c r="H21" s="224">
        <f>hotel!I23</f>
        <v>-5241.13380375</v>
      </c>
      <c r="I21" s="224">
        <f>hotel!J23</f>
        <v>-5241.13380375</v>
      </c>
      <c r="J21" s="224">
        <f>hotel!K23</f>
        <v>-5241.13380375</v>
      </c>
      <c r="K21" s="224">
        <f>hotel!L23</f>
        <v>-5241.13380375</v>
      </c>
      <c r="L21" s="224">
        <f>hotel!M23</f>
        <v>-5241.13380375</v>
      </c>
      <c r="M21" s="224">
        <f>hotel!N23</f>
        <v>-5241.13380375</v>
      </c>
      <c r="N21" s="224">
        <f>hotel!O23</f>
        <v>-5241.13380375</v>
      </c>
      <c r="P21" s="346" t="s">
        <v>413</v>
      </c>
      <c r="Q21" s="227">
        <f>Q19*Q20</f>
        <v>349305316.03269267</v>
      </c>
    </row>
    <row r="22" spans="2:18">
      <c r="B22" s="134" t="s">
        <v>131</v>
      </c>
      <c r="C22" s="134"/>
      <c r="D22" s="224">
        <f>parking!E22</f>
        <v>0</v>
      </c>
      <c r="E22" s="224">
        <f>parking!F22</f>
        <v>0</v>
      </c>
      <c r="F22" s="224">
        <f>parking!G22</f>
        <v>0</v>
      </c>
      <c r="G22" s="224">
        <f>parking!H22</f>
        <v>0</v>
      </c>
      <c r="H22" s="224">
        <f>parking!I22</f>
        <v>0</v>
      </c>
      <c r="I22" s="224">
        <f>parking!J22</f>
        <v>0</v>
      </c>
      <c r="J22" s="224">
        <f>parking!K22</f>
        <v>0</v>
      </c>
      <c r="K22" s="224">
        <f>parking!L22</f>
        <v>0</v>
      </c>
      <c r="L22" s="224">
        <f>parking!M22</f>
        <v>0</v>
      </c>
      <c r="M22" s="224">
        <f>parking!N22</f>
        <v>0</v>
      </c>
      <c r="N22" s="224">
        <f>parking!O22</f>
        <v>0</v>
      </c>
      <c r="P22" s="346" t="s">
        <v>415</v>
      </c>
      <c r="Q22" s="392" t="s">
        <v>429</v>
      </c>
    </row>
    <row r="23" spans="2:18">
      <c r="B23" s="134" t="s">
        <v>304</v>
      </c>
      <c r="C23" s="134"/>
      <c r="D23" s="225">
        <f>'public bldgs'!E17</f>
        <v>0</v>
      </c>
      <c r="E23" s="225">
        <f>'public bldgs'!F17</f>
        <v>0</v>
      </c>
      <c r="F23" s="225">
        <f>'public bldgs'!G17</f>
        <v>0</v>
      </c>
      <c r="G23" s="225">
        <f>'public bldgs'!H17</f>
        <v>-10144.700000000001</v>
      </c>
      <c r="H23" s="225">
        <f>'public bldgs'!I17</f>
        <v>-10144.700000000001</v>
      </c>
      <c r="I23" s="225">
        <f>'public bldgs'!J17</f>
        <v>-10144.700000000001</v>
      </c>
      <c r="J23" s="225">
        <f>'public bldgs'!K17</f>
        <v>-10144.700000000001</v>
      </c>
      <c r="K23" s="225">
        <f>'public bldgs'!L17</f>
        <v>-10144.700000000001</v>
      </c>
      <c r="L23" s="225">
        <f>'public bldgs'!M17</f>
        <v>-10144.700000000001</v>
      </c>
      <c r="M23" s="225">
        <f>'public bldgs'!N17</f>
        <v>-10144.700000000001</v>
      </c>
      <c r="N23" s="225">
        <f>'public bldgs'!O17</f>
        <v>-10144.700000000001</v>
      </c>
      <c r="P23" s="346" t="s">
        <v>416</v>
      </c>
      <c r="Q23" s="223">
        <f>permanentinterestrate</f>
        <v>6.5000000000000002E-2</v>
      </c>
    </row>
    <row r="24" spans="2:18">
      <c r="B24" s="282" t="s">
        <v>329</v>
      </c>
      <c r="C24" s="134"/>
      <c r="D24" s="224">
        <f>SUM(D16:D23)</f>
        <v>0</v>
      </c>
      <c r="E24" s="224">
        <f t="shared" ref="E24" si="1">SUM(E16:E23)</f>
        <v>0</v>
      </c>
      <c r="F24" s="224">
        <f t="shared" ref="F24" si="2">SUM(F16:F23)</f>
        <v>0</v>
      </c>
      <c r="G24" s="224">
        <f t="shared" ref="G24" si="3">SUM(G16:G23)</f>
        <v>-116510.85410369343</v>
      </c>
      <c r="H24" s="224">
        <f t="shared" ref="H24" si="4">SUM(H16:H23)</f>
        <v>-142322.57435371936</v>
      </c>
      <c r="I24" s="224">
        <f t="shared" ref="I24" si="5">SUM(I16:I23)</f>
        <v>-151219.36984496939</v>
      </c>
      <c r="J24" s="224">
        <f t="shared" ref="J24" si="6">SUM(J16:J23)</f>
        <v>-151219.36984496939</v>
      </c>
      <c r="K24" s="224">
        <f t="shared" ref="K24" si="7">SUM(K16:K23)</f>
        <v>-151219.36984496939</v>
      </c>
      <c r="L24" s="224">
        <f t="shared" ref="L24" si="8">SUM(L16:L23)</f>
        <v>-151219.36984496939</v>
      </c>
      <c r="M24" s="224">
        <f t="shared" ref="M24" si="9">SUM(M16:M23)</f>
        <v>-151219.36984496939</v>
      </c>
      <c r="N24" s="224">
        <f t="shared" ref="N24" si="10">SUM(N16:N23)</f>
        <v>-151219.36984496939</v>
      </c>
      <c r="P24" s="346" t="s">
        <v>422</v>
      </c>
      <c r="Q24" s="386">
        <f>amortizationschedule</f>
        <v>30</v>
      </c>
    </row>
    <row r="25" spans="2:18">
      <c r="B25" s="134"/>
      <c r="C25" s="13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P25" s="346" t="s">
        <v>451</v>
      </c>
      <c r="Q25" s="224">
        <f>'p1'!E8*12</f>
        <v>26494166.484044295</v>
      </c>
      <c r="R25" s="223">
        <f>permanentservicingfees</f>
        <v>7.4999999999999997E-2</v>
      </c>
    </row>
    <row r="26" spans="2:18">
      <c r="B26" s="118" t="s">
        <v>197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P26" s="346" t="s">
        <v>417</v>
      </c>
      <c r="Q26" s="227">
        <f>Q21*R25</f>
        <v>26197898.702451948</v>
      </c>
    </row>
    <row r="27" spans="2:18" outlineLevel="1">
      <c r="B27" s="134" t="s">
        <v>165</v>
      </c>
      <c r="C27" s="134"/>
      <c r="D27" s="224">
        <f>'res, market-rate'!E26</f>
        <v>0</v>
      </c>
      <c r="E27" s="224">
        <f>'res, market-rate'!F26</f>
        <v>-49837160.915195629</v>
      </c>
      <c r="F27" s="224">
        <f>'res, market-rate'!G26</f>
        <v>-50833904.133499548</v>
      </c>
      <c r="G27" s="224">
        <f>'res, market-rate'!H26</f>
        <v>0</v>
      </c>
      <c r="H27" s="224">
        <f>'res, market-rate'!I26</f>
        <v>0</v>
      </c>
      <c r="I27" s="224">
        <f>'res, market-rate'!J26</f>
        <v>0</v>
      </c>
      <c r="J27" s="224">
        <f>'res, market-rate'!K26</f>
        <v>0</v>
      </c>
      <c r="K27" s="224">
        <f>'res, market-rate'!L26</f>
        <v>0</v>
      </c>
      <c r="L27" s="224">
        <f>'res, market-rate'!M26</f>
        <v>0</v>
      </c>
      <c r="M27" s="224">
        <f>'res, market-rate'!N26</f>
        <v>0</v>
      </c>
      <c r="N27" s="224">
        <f>'res, market-rate'!O26</f>
        <v>165897484.18158856</v>
      </c>
      <c r="P27" s="346" t="s">
        <v>423</v>
      </c>
      <c r="Q27" s="227">
        <f>SUM(D6:N6)</f>
        <v>35716480.426933259</v>
      </c>
    </row>
    <row r="28" spans="2:18" outlineLevel="1">
      <c r="B28" s="134" t="s">
        <v>157</v>
      </c>
      <c r="C28" s="134"/>
      <c r="D28" s="224">
        <f>'res, condo'!E27</f>
        <v>0</v>
      </c>
      <c r="E28" s="224">
        <f>'res, condo'!F27</f>
        <v>-11471788.727504998</v>
      </c>
      <c r="F28" s="224">
        <f>'res, condo'!G27</f>
        <v>-11701224.502055101</v>
      </c>
      <c r="G28" s="224">
        <f>'res, condo'!H27</f>
        <v>0</v>
      </c>
      <c r="H28" s="224">
        <f>'res, condo'!I27</f>
        <v>0</v>
      </c>
      <c r="I28" s="224">
        <f>'res, condo'!J27</f>
        <v>0</v>
      </c>
      <c r="J28" s="224">
        <f>'res, condo'!K27</f>
        <v>0</v>
      </c>
      <c r="K28" s="224">
        <f>'res, condo'!L27</f>
        <v>0</v>
      </c>
      <c r="L28" s="224">
        <f>'res, condo'!M27</f>
        <v>0</v>
      </c>
      <c r="M28" s="224">
        <f>'res, condo'!N27</f>
        <v>0</v>
      </c>
      <c r="N28" s="224">
        <f>'res, condo'!O27</f>
        <v>0</v>
      </c>
      <c r="Q28" s="227"/>
    </row>
    <row r="29" spans="2:18" outlineLevel="1">
      <c r="B29" s="134" t="s">
        <v>141</v>
      </c>
      <c r="C29" s="134"/>
      <c r="D29" s="224">
        <f>'res, affordable'!E24</f>
        <v>0</v>
      </c>
      <c r="E29" s="224">
        <f>'res, affordable'!F24</f>
        <v>-7611305.2884843731</v>
      </c>
      <c r="F29" s="224">
        <f>'res, affordable'!G24</f>
        <v>-7763531.3942540614</v>
      </c>
      <c r="G29" s="224">
        <f>'res, affordable'!H24</f>
        <v>0</v>
      </c>
      <c r="H29" s="224">
        <f>'res, affordable'!I24</f>
        <v>0</v>
      </c>
      <c r="I29" s="224">
        <f>'res, affordable'!J24</f>
        <v>0</v>
      </c>
      <c r="J29" s="224">
        <f>'res, affordable'!K24</f>
        <v>0</v>
      </c>
      <c r="K29" s="224">
        <f>'res, affordable'!L24</f>
        <v>0</v>
      </c>
      <c r="L29" s="224">
        <f>'res, affordable'!M24</f>
        <v>0</v>
      </c>
      <c r="M29" s="224">
        <f>'res, affordable'!N24</f>
        <v>0</v>
      </c>
      <c r="N29" s="224">
        <f>'res, affordable'!O24</f>
        <v>18747732.643917341</v>
      </c>
    </row>
    <row r="30" spans="2:18" outlineLevel="1">
      <c r="B30" s="134" t="s">
        <v>2</v>
      </c>
      <c r="C30" s="134"/>
      <c r="D30" s="224">
        <f>office!E28</f>
        <v>0</v>
      </c>
      <c r="E30" s="224">
        <f>office!F28</f>
        <v>-67466205.423097819</v>
      </c>
      <c r="F30" s="224">
        <f>office!G28</f>
        <v>-49824042.565308727</v>
      </c>
      <c r="G30" s="224">
        <f>office!H28</f>
        <v>0</v>
      </c>
      <c r="H30" s="224">
        <f>office!I28</f>
        <v>0</v>
      </c>
      <c r="I30" s="224">
        <f>office!J28</f>
        <v>0</v>
      </c>
      <c r="J30" s="224">
        <f>office!K28</f>
        <v>0</v>
      </c>
      <c r="K30" s="224">
        <f>office!L28</f>
        <v>0</v>
      </c>
      <c r="L30" s="224">
        <f>office!M28</f>
        <v>0</v>
      </c>
      <c r="M30" s="224">
        <f>office!N28</f>
        <v>0</v>
      </c>
      <c r="N30" s="224">
        <f>office!O28</f>
        <v>226554273.3215884</v>
      </c>
    </row>
    <row r="31" spans="2:18" outlineLevel="1">
      <c r="B31" s="242" t="s">
        <v>142</v>
      </c>
      <c r="C31" s="242"/>
      <c r="D31" s="224">
        <f>retail!E28</f>
        <v>0</v>
      </c>
      <c r="E31" s="224">
        <f>retail!F28</f>
        <v>-33835582.182284996</v>
      </c>
      <c r="F31" s="224">
        <f>retail!G28</f>
        <v>-34512293.8259307</v>
      </c>
      <c r="G31" s="224">
        <f>retail!H28</f>
        <v>0</v>
      </c>
      <c r="H31" s="224">
        <f>retail!I28</f>
        <v>0</v>
      </c>
      <c r="I31" s="224">
        <f>retail!J28</f>
        <v>0</v>
      </c>
      <c r="J31" s="224">
        <f>retail!K28</f>
        <v>0</v>
      </c>
      <c r="K31" s="224">
        <f>retail!L28</f>
        <v>0</v>
      </c>
      <c r="L31" s="224">
        <f>retail!M28</f>
        <v>0</v>
      </c>
      <c r="M31" s="224">
        <f>retail!N28</f>
        <v>0</v>
      </c>
      <c r="N31" s="224">
        <f>retail!O28</f>
        <v>211362282.93719202</v>
      </c>
    </row>
    <row r="32" spans="2:18" outlineLevel="1">
      <c r="B32" s="134" t="s">
        <v>18</v>
      </c>
      <c r="C32" s="134"/>
      <c r="D32" s="224">
        <f>hotel!E27</f>
        <v>0</v>
      </c>
      <c r="E32" s="224">
        <f>hotel!F27</f>
        <v>-18081911.6229375</v>
      </c>
      <c r="F32" s="224">
        <f>hotel!G27</f>
        <v>-18443549.855396248</v>
      </c>
      <c r="G32" s="224">
        <f>hotel!H27</f>
        <v>0</v>
      </c>
      <c r="H32" s="224">
        <f>hotel!I27</f>
        <v>0</v>
      </c>
      <c r="I32" s="224">
        <f>hotel!J27</f>
        <v>0</v>
      </c>
      <c r="J32" s="224">
        <f>hotel!K27</f>
        <v>0</v>
      </c>
      <c r="K32" s="224">
        <f>hotel!L27</f>
        <v>0</v>
      </c>
      <c r="L32" s="224">
        <f>hotel!M27</f>
        <v>0</v>
      </c>
      <c r="M32" s="224">
        <f>hotel!N27</f>
        <v>0</v>
      </c>
      <c r="N32" s="224">
        <f>hotel!O27</f>
        <v>49676481.91313187</v>
      </c>
    </row>
    <row r="33" spans="2:14" outlineLevel="1">
      <c r="B33" s="134" t="s">
        <v>131</v>
      </c>
      <c r="C33" s="134"/>
      <c r="D33" s="224">
        <f>parking!E26</f>
        <v>0</v>
      </c>
      <c r="E33" s="224">
        <f>parking!F26</f>
        <v>0</v>
      </c>
      <c r="F33" s="224">
        <f>parking!G26</f>
        <v>0</v>
      </c>
      <c r="G33" s="224">
        <f>parking!H26</f>
        <v>0</v>
      </c>
      <c r="H33" s="224">
        <f>parking!I26</f>
        <v>0</v>
      </c>
      <c r="I33" s="224">
        <f>parking!J26</f>
        <v>0</v>
      </c>
      <c r="J33" s="224">
        <f>parking!K26</f>
        <v>0</v>
      </c>
      <c r="K33" s="224">
        <f>parking!L26</f>
        <v>0</v>
      </c>
      <c r="L33" s="224">
        <f>parking!M26</f>
        <v>0</v>
      </c>
      <c r="M33" s="224">
        <f>parking!N26</f>
        <v>0</v>
      </c>
      <c r="N33" s="224">
        <f>parking!O26</f>
        <v>0</v>
      </c>
    </row>
    <row r="34" spans="2:14" outlineLevel="1">
      <c r="B34" s="134" t="s">
        <v>286</v>
      </c>
      <c r="C34" s="134"/>
      <c r="D34" s="225">
        <f>'public bldgs'!E23</f>
        <v>0</v>
      </c>
      <c r="E34" s="225">
        <f>'public bldgs'!F23</f>
        <v>-13124705.624999998</v>
      </c>
      <c r="F34" s="225">
        <f>'public bldgs'!G23</f>
        <v>-13387199.737499999</v>
      </c>
      <c r="G34" s="225">
        <f>'public bldgs'!H23</f>
        <v>0</v>
      </c>
      <c r="H34" s="225">
        <f>'public bldgs'!I23</f>
        <v>0</v>
      </c>
      <c r="I34" s="225">
        <f>'public bldgs'!J23</f>
        <v>0</v>
      </c>
      <c r="J34" s="225">
        <f>'public bldgs'!K23</f>
        <v>0</v>
      </c>
      <c r="K34" s="225">
        <f>'public bldgs'!L23</f>
        <v>0</v>
      </c>
      <c r="L34" s="225">
        <f>'public bldgs'!M23</f>
        <v>0</v>
      </c>
      <c r="M34" s="225">
        <f>'public bldgs'!N23</f>
        <v>0</v>
      </c>
      <c r="N34" s="225">
        <f>'public bldgs'!O23</f>
        <v>0</v>
      </c>
    </row>
    <row r="35" spans="2:14">
      <c r="B35" s="282" t="s">
        <v>330</v>
      </c>
      <c r="C35" s="134"/>
      <c r="D35" s="224">
        <f>SUM(D27:D34)</f>
        <v>0</v>
      </c>
      <c r="E35" s="224">
        <f t="shared" ref="E35" si="11">SUM(E27:E34)</f>
        <v>-201428659.78450531</v>
      </c>
      <c r="F35" s="224">
        <f t="shared" ref="F35" si="12">SUM(F27:F34)</f>
        <v>-186465746.01394442</v>
      </c>
      <c r="G35" s="224">
        <f t="shared" ref="G35" si="13">SUM(G27:G34)</f>
        <v>0</v>
      </c>
      <c r="H35" s="224">
        <f t="shared" ref="H35" si="14">SUM(H27:H34)</f>
        <v>0</v>
      </c>
      <c r="I35" s="224">
        <f t="shared" ref="I35" si="15">SUM(I27:I34)</f>
        <v>0</v>
      </c>
      <c r="J35" s="224">
        <f t="shared" ref="J35" si="16">SUM(J27:J34)</f>
        <v>0</v>
      </c>
      <c r="K35" s="224">
        <f t="shared" ref="K35" si="17">SUM(K27:K34)</f>
        <v>0</v>
      </c>
      <c r="L35" s="224">
        <f t="shared" ref="L35" si="18">SUM(L27:L34)</f>
        <v>0</v>
      </c>
      <c r="M35" s="224">
        <f t="shared" ref="M35" si="19">SUM(M27:M34)</f>
        <v>0</v>
      </c>
      <c r="N35" s="224">
        <f t="shared" ref="N35" si="20">SUM(N27:N34)</f>
        <v>672238254.99741817</v>
      </c>
    </row>
    <row r="36" spans="2:14">
      <c r="B36" s="134"/>
      <c r="C36" s="13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</row>
    <row r="37" spans="2:14">
      <c r="B37" s="118" t="s">
        <v>303</v>
      </c>
      <c r="D37" s="224">
        <f>-IF(OR(D$2=Phase1begin,D$2=Phase1end,AND(D$2&gt;Phase1begin,D$2&lt;Phase1end)),infstrc!$K$24/Constructiontime,0)</f>
        <v>0</v>
      </c>
      <c r="E37" s="224">
        <f>-IF(OR(E$2=Phase1begin,E$2=Phase1end,AND(E$2&gt;Phase1begin,E$2&lt;Phase1end)),infstrc!$K$24/Constructiontime,0)</f>
        <v>-35734308.799999997</v>
      </c>
      <c r="F37" s="224">
        <f>-IF(OR(F$2=Phase1begin,F$2=Phase1end,AND(F$2&gt;Phase1begin,F$2&lt;Phase1end)),infstrc!$K$24/Constructiontime,0)</f>
        <v>-35734308.799999997</v>
      </c>
      <c r="G37" s="224">
        <f>-IF(OR(G$2=Phase1begin,G$2=Phase1end,AND(G$2&gt;Phase1begin,G$2&lt;Phase1end)),infstrc!$K$24/Constructiontime,0)</f>
        <v>0</v>
      </c>
      <c r="H37" s="224">
        <f>-IF(OR(H$2=Phase1begin,H$2=Phase1end,AND(H$2&gt;Phase1begin,H$2&lt;Phase1end)),infstrc!$K$24/Constructiontime,0)</f>
        <v>0</v>
      </c>
      <c r="I37" s="224">
        <f>-IF(OR(I$2=Phase1begin,I$2=Phase1end,AND(I$2&gt;Phase1begin,I$2&lt;Phase1end)),infstrc!$K$24/Constructiontime,0)</f>
        <v>0</v>
      </c>
      <c r="J37" s="224">
        <f>-IF(OR(J$2=Phase1begin,J$2=Phase1end,AND(J$2&gt;Phase1begin,J$2&lt;Phase1end)),infstrc!$K$24/Constructiontime,0)</f>
        <v>0</v>
      </c>
      <c r="K37" s="224">
        <f>-IF(OR(K$2=Phase1begin,K$2=Phase1end,AND(K$2&gt;Phase1begin,K$2&lt;Phase1end)),infstrc!$K$24/Constructiontime,0)</f>
        <v>0</v>
      </c>
      <c r="L37" s="224">
        <f>-IF(OR(L$2=Phase1begin,L$2=Phase1end,AND(L$2&gt;Phase1begin,L$2&lt;Phase1end)),infstrc!$K$24/Constructiontime,0)</f>
        <v>0</v>
      </c>
      <c r="M37" s="224">
        <f>-IF(OR(M$2=Phase1begin,M$2=Phase1end,AND(M$2&gt;Phase1begin,M$2&lt;Phase1end)),infstrc!$K$24/Constructiontime,0)</f>
        <v>0</v>
      </c>
      <c r="N37" s="224">
        <f>-IF(OR(N$2=Phase1begin,N$2=Phase1end,AND(N$2&gt;Phase1begin,N$2&lt;Phase1end)),infstrc!$K$24/Constructiontime,0)</f>
        <v>0</v>
      </c>
    </row>
    <row r="38" spans="2:14">
      <c r="B38" s="118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</row>
    <row r="39" spans="2:14">
      <c r="B39" s="118" t="s">
        <v>170</v>
      </c>
      <c r="C39" s="228">
        <f>IRR(D39:N39)</f>
        <v>0.12664159391981444</v>
      </c>
      <c r="D39" s="227">
        <f t="shared" ref="D39:N39" si="21">SUM(D13,D24,D35,D37)</f>
        <v>0</v>
      </c>
      <c r="E39" s="227">
        <f t="shared" si="21"/>
        <v>-237162968.58450532</v>
      </c>
      <c r="F39" s="227">
        <f t="shared" si="21"/>
        <v>-222200054.8139444</v>
      </c>
      <c r="G39" s="227">
        <f t="shared" si="21"/>
        <v>37069409.71853137</v>
      </c>
      <c r="H39" s="227">
        <f t="shared" si="21"/>
        <v>57249896.997877695</v>
      </c>
      <c r="I39" s="227">
        <f t="shared" si="21"/>
        <v>45913032.547136702</v>
      </c>
      <c r="J39" s="227">
        <f t="shared" si="21"/>
        <v>46834317.585476339</v>
      </c>
      <c r="K39" s="227">
        <f t="shared" si="21"/>
        <v>47774028.324582763</v>
      </c>
      <c r="L39" s="227">
        <f t="shared" si="21"/>
        <v>48732533.278471306</v>
      </c>
      <c r="M39" s="227">
        <f t="shared" si="21"/>
        <v>49710208.33143764</v>
      </c>
      <c r="N39" s="227">
        <f t="shared" si="21"/>
        <v>722945691.8828814</v>
      </c>
    </row>
    <row r="41" spans="2:14">
      <c r="B41" s="118" t="s">
        <v>455</v>
      </c>
    </row>
    <row r="43" spans="2:14">
      <c r="B43" s="120" t="s">
        <v>431</v>
      </c>
      <c r="D43" s="227">
        <f t="shared" ref="D43:N43" si="22">IF(D39&lt;0,D35+D37,0)</f>
        <v>0</v>
      </c>
      <c r="E43" s="227">
        <f t="shared" si="22"/>
        <v>-237162968.58450532</v>
      </c>
      <c r="F43" s="227">
        <f t="shared" si="22"/>
        <v>-222200054.8139444</v>
      </c>
      <c r="G43" s="227">
        <f t="shared" si="22"/>
        <v>0</v>
      </c>
      <c r="H43" s="227">
        <f t="shared" si="22"/>
        <v>0</v>
      </c>
      <c r="I43" s="227">
        <f t="shared" si="22"/>
        <v>0</v>
      </c>
      <c r="J43" s="227">
        <f t="shared" si="22"/>
        <v>0</v>
      </c>
      <c r="K43" s="227">
        <f t="shared" si="22"/>
        <v>0</v>
      </c>
      <c r="L43" s="227">
        <f t="shared" si="22"/>
        <v>0</v>
      </c>
      <c r="M43" s="227">
        <f t="shared" si="22"/>
        <v>0</v>
      </c>
      <c r="N43" s="227">
        <f t="shared" si="22"/>
        <v>0</v>
      </c>
    </row>
    <row r="44" spans="2:14"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</row>
    <row r="45" spans="2:14">
      <c r="B45" s="136" t="s">
        <v>172</v>
      </c>
      <c r="C45" s="135"/>
    </row>
    <row r="46" spans="2:14">
      <c r="B46" s="135" t="s">
        <v>414</v>
      </c>
      <c r="D46" s="224">
        <f t="shared" ref="D46:N46" si="23">-IF(D$2=Phase1begin,$Q12,0)</f>
        <v>0</v>
      </c>
      <c r="E46" s="224">
        <f t="shared" si="23"/>
        <v>-225662085.24448845</v>
      </c>
      <c r="F46" s="224">
        <f t="shared" si="23"/>
        <v>0</v>
      </c>
      <c r="G46" s="224">
        <f t="shared" si="23"/>
        <v>0</v>
      </c>
      <c r="H46" s="224">
        <f t="shared" si="23"/>
        <v>0</v>
      </c>
      <c r="I46" s="224">
        <f t="shared" si="23"/>
        <v>0</v>
      </c>
      <c r="J46" s="224">
        <f t="shared" si="23"/>
        <v>0</v>
      </c>
      <c r="K46" s="224">
        <f t="shared" si="23"/>
        <v>0</v>
      </c>
      <c r="L46" s="224">
        <f t="shared" si="23"/>
        <v>0</v>
      </c>
      <c r="M46" s="224">
        <f t="shared" si="23"/>
        <v>0</v>
      </c>
      <c r="N46" s="224">
        <f t="shared" si="23"/>
        <v>0</v>
      </c>
    </row>
    <row r="47" spans="2:14">
      <c r="B47" s="135" t="s">
        <v>430</v>
      </c>
      <c r="D47" s="224">
        <f>-(D43-D46)</f>
        <v>0</v>
      </c>
      <c r="E47" s="224">
        <f t="shared" ref="E47:N47" si="24">-(E43-E46)</f>
        <v>11500883.340016872</v>
      </c>
      <c r="F47" s="224">
        <f t="shared" si="24"/>
        <v>222200054.8139444</v>
      </c>
      <c r="G47" s="224">
        <f t="shared" si="24"/>
        <v>0</v>
      </c>
      <c r="H47" s="224">
        <f t="shared" si="24"/>
        <v>0</v>
      </c>
      <c r="I47" s="224">
        <f t="shared" si="24"/>
        <v>0</v>
      </c>
      <c r="J47" s="224">
        <f t="shared" si="24"/>
        <v>0</v>
      </c>
      <c r="K47" s="224">
        <f t="shared" si="24"/>
        <v>0</v>
      </c>
      <c r="L47" s="224">
        <f t="shared" si="24"/>
        <v>0</v>
      </c>
      <c r="M47" s="224">
        <f t="shared" si="24"/>
        <v>0</v>
      </c>
      <c r="N47" s="224">
        <f t="shared" si="24"/>
        <v>0</v>
      </c>
    </row>
    <row r="48" spans="2:14">
      <c r="B48" s="135" t="s">
        <v>425</v>
      </c>
      <c r="C48" s="135"/>
      <c r="D48" s="224">
        <f t="shared" ref="D48:N48" si="25">-IF(OR(D$2=Phase1begin,D$2=Phase1end,AND(D$2&gt;Phase1begin,D$2&lt;Phase1end)),D47*$Q10,0)</f>
        <v>0</v>
      </c>
      <c r="E48" s="224">
        <f t="shared" si="25"/>
        <v>-1380106.0008020245</v>
      </c>
      <c r="F48" s="224">
        <f t="shared" si="25"/>
        <v>-26664006.577673327</v>
      </c>
      <c r="G48" s="224">
        <f t="shared" si="25"/>
        <v>0</v>
      </c>
      <c r="H48" s="224">
        <f t="shared" si="25"/>
        <v>0</v>
      </c>
      <c r="I48" s="224">
        <f t="shared" si="25"/>
        <v>0</v>
      </c>
      <c r="J48" s="224">
        <f t="shared" si="25"/>
        <v>0</v>
      </c>
      <c r="K48" s="224">
        <f t="shared" si="25"/>
        <v>0</v>
      </c>
      <c r="L48" s="224">
        <f t="shared" si="25"/>
        <v>0</v>
      </c>
      <c r="M48" s="224">
        <f t="shared" si="25"/>
        <v>0</v>
      </c>
      <c r="N48" s="224">
        <f t="shared" si="25"/>
        <v>0</v>
      </c>
    </row>
    <row r="49" spans="2:17">
      <c r="B49" s="135" t="s">
        <v>426</v>
      </c>
      <c r="C49" s="135"/>
      <c r="D49" s="224">
        <f>-IF(D$2=Phase1end+1,SUM($D47:D47),0)</f>
        <v>0</v>
      </c>
      <c r="E49" s="224">
        <f>-IF(E$2=Phase1end+1,SUM($D47:E47),0)</f>
        <v>0</v>
      </c>
      <c r="F49" s="224">
        <f>-IF(F$2=Phase1end+1,SUM($D47:F47),0)</f>
        <v>0</v>
      </c>
      <c r="G49" s="415">
        <f>-IF(G$2=Phase1end+1,SUM($D47:G47),0)</f>
        <v>-233700938.15396127</v>
      </c>
      <c r="H49" s="224">
        <f>-IF(H$2=Phase1end+1,SUM($D47:H47),0)</f>
        <v>0</v>
      </c>
      <c r="I49" s="224">
        <f>-IF(I$2=Phase1end+1,SUM($D47:I47),0)</f>
        <v>0</v>
      </c>
      <c r="J49" s="224">
        <f>-IF(J$2=Phase1end+1,SUM($D47:J47),0)</f>
        <v>0</v>
      </c>
      <c r="K49" s="224">
        <f>-IF(K$2=Phase1end+1,SUM($D47:K47),0)</f>
        <v>0</v>
      </c>
      <c r="L49" s="224">
        <f>-IF(L$2=Phase1end+1,SUM($D47:L47),0)</f>
        <v>0</v>
      </c>
      <c r="M49" s="224">
        <f>-IF(M$2=Phase1end+1,SUM($D47:M47),0)</f>
        <v>0</v>
      </c>
      <c r="N49" s="224">
        <f>-IF(N$2=Phase1end+1,SUM($D47:N47),0)</f>
        <v>0</v>
      </c>
    </row>
    <row r="51" spans="2:17">
      <c r="B51" s="136" t="s">
        <v>173</v>
      </c>
      <c r="C51" s="135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</row>
    <row r="52" spans="2:17">
      <c r="B52" s="135" t="s">
        <v>452</v>
      </c>
      <c r="C52" s="135"/>
      <c r="D52" s="224">
        <f t="shared" ref="D52:N52" si="26">-IF(D$2=Phase1open,$Q26,0)</f>
        <v>0</v>
      </c>
      <c r="E52" s="224">
        <f t="shared" si="26"/>
        <v>0</v>
      </c>
      <c r="F52" s="224">
        <f t="shared" si="26"/>
        <v>0</v>
      </c>
      <c r="G52" s="224">
        <f t="shared" si="26"/>
        <v>-26197898.702451948</v>
      </c>
      <c r="H52" s="224">
        <f t="shared" si="26"/>
        <v>0</v>
      </c>
      <c r="I52" s="224">
        <f t="shared" si="26"/>
        <v>0</v>
      </c>
      <c r="J52" s="224">
        <f t="shared" si="26"/>
        <v>0</v>
      </c>
      <c r="K52" s="224">
        <f t="shared" si="26"/>
        <v>0</v>
      </c>
      <c r="L52" s="224">
        <f t="shared" si="26"/>
        <v>0</v>
      </c>
      <c r="M52" s="224">
        <f t="shared" si="26"/>
        <v>0</v>
      </c>
      <c r="N52" s="224">
        <f t="shared" si="26"/>
        <v>0</v>
      </c>
    </row>
    <row r="53" spans="2:17">
      <c r="B53" s="135" t="s">
        <v>430</v>
      </c>
      <c r="C53" s="135"/>
      <c r="D53" s="224">
        <f t="shared" ref="D53:N53" si="27">IF(D$2=Phase1open,$Q21,0)</f>
        <v>0</v>
      </c>
      <c r="E53" s="224">
        <f t="shared" si="27"/>
        <v>0</v>
      </c>
      <c r="F53" s="224">
        <f t="shared" si="27"/>
        <v>0</v>
      </c>
      <c r="G53" s="224">
        <f t="shared" si="27"/>
        <v>349305316.03269267</v>
      </c>
      <c r="H53" s="224">
        <f t="shared" si="27"/>
        <v>0</v>
      </c>
      <c r="I53" s="224">
        <f t="shared" si="27"/>
        <v>0</v>
      </c>
      <c r="J53" s="224">
        <f t="shared" si="27"/>
        <v>0</v>
      </c>
      <c r="K53" s="224">
        <f t="shared" si="27"/>
        <v>0</v>
      </c>
      <c r="L53" s="224">
        <f t="shared" si="27"/>
        <v>0</v>
      </c>
      <c r="M53" s="224">
        <f t="shared" si="27"/>
        <v>0</v>
      </c>
      <c r="N53" s="224">
        <f t="shared" si="27"/>
        <v>0</v>
      </c>
    </row>
    <row r="54" spans="2:17">
      <c r="B54" s="135" t="s">
        <v>450</v>
      </c>
      <c r="C54" s="135"/>
      <c r="D54" s="224">
        <f t="shared" ref="D54:N54" si="28">-IF(D$2&gt;=Phase1open,$Q25,0)</f>
        <v>0</v>
      </c>
      <c r="E54" s="224">
        <f t="shared" si="28"/>
        <v>0</v>
      </c>
      <c r="F54" s="224">
        <f t="shared" si="28"/>
        <v>0</v>
      </c>
      <c r="G54" s="224">
        <f t="shared" si="28"/>
        <v>-26494166.484044295</v>
      </c>
      <c r="H54" s="224">
        <f t="shared" si="28"/>
        <v>-26494166.484044295</v>
      </c>
      <c r="I54" s="224">
        <f t="shared" si="28"/>
        <v>-26494166.484044295</v>
      </c>
      <c r="J54" s="224">
        <f t="shared" si="28"/>
        <v>-26494166.484044295</v>
      </c>
      <c r="K54" s="224">
        <f t="shared" si="28"/>
        <v>-26494166.484044295</v>
      </c>
      <c r="L54" s="224">
        <f t="shared" si="28"/>
        <v>-26494166.484044295</v>
      </c>
      <c r="M54" s="224">
        <f t="shared" si="28"/>
        <v>-26494166.484044295</v>
      </c>
      <c r="N54" s="224">
        <f t="shared" si="28"/>
        <v>-26494166.484044295</v>
      </c>
    </row>
    <row r="55" spans="2:17">
      <c r="B55" s="135" t="s">
        <v>426</v>
      </c>
      <c r="C55" s="135"/>
      <c r="D55" s="224">
        <f>-IF(D$2=dispositionyear,'p1'!$E$16,0)</f>
        <v>0</v>
      </c>
      <c r="E55" s="224">
        <f>-IF(E$2=dispositionyear,'p1'!$E$16,0)</f>
        <v>0</v>
      </c>
      <c r="F55" s="224">
        <f>-IF(F$2=dispositionyear,'p1'!$E$16,0)</f>
        <v>0</v>
      </c>
      <c r="G55" s="224">
        <f>-IF(G$2=dispositionyear,'p1'!$E$16,0)</f>
        <v>0</v>
      </c>
      <c r="H55" s="224">
        <f>-IF(H$2=dispositionyear,'p1'!$E$16,0)</f>
        <v>0</v>
      </c>
      <c r="I55" s="224">
        <f>-IF(I$2=dispositionyear,'p1'!$E$16,0)</f>
        <v>0</v>
      </c>
      <c r="J55" s="224">
        <f>-IF(J$2=dispositionyear,'p1'!$E$16,0)</f>
        <v>0</v>
      </c>
      <c r="K55" s="224">
        <f>-IF(K$2=dispositionyear,'p1'!$E$16,0)</f>
        <v>0</v>
      </c>
      <c r="L55" s="224">
        <f>-IF(L$2=dispositionyear,'p1'!$E$16,0)</f>
        <v>0</v>
      </c>
      <c r="M55" s="224">
        <f>-IF(M$2=dispositionyear,'p1'!$E$16,0)</f>
        <v>0</v>
      </c>
      <c r="N55" s="224">
        <f>-IF(N$2=dispositionyear,'p1'!$E$16,0)</f>
        <v>-315828749.58589494</v>
      </c>
    </row>
    <row r="56" spans="2:17">
      <c r="C56" s="229"/>
    </row>
    <row r="57" spans="2:17">
      <c r="B57" s="118" t="s">
        <v>174</v>
      </c>
      <c r="C57" s="228">
        <f>IRR(D57:N57)</f>
        <v>0.46012134844643615</v>
      </c>
      <c r="D57" s="227">
        <f t="shared" ref="D57:N57" si="29">SUM(D13,D24)+SUM(D46:D55)+IF(D$2=dispositionyear,D35)</f>
        <v>0</v>
      </c>
      <c r="E57" s="227">
        <f>SUM(E13,E24)+SUM(E46:E55)+IF(E$2=dispositionyear,E35)</f>
        <v>-215541307.90527359</v>
      </c>
      <c r="F57" s="227">
        <f t="shared" si="29"/>
        <v>195536048.23627108</v>
      </c>
      <c r="G57" s="227">
        <f t="shared" si="29"/>
        <v>99981722.410766527</v>
      </c>
      <c r="H57" s="227">
        <f t="shared" si="29"/>
        <v>30755730.5138334</v>
      </c>
      <c r="I57" s="227">
        <f t="shared" si="29"/>
        <v>19418866.063092407</v>
      </c>
      <c r="J57" s="227">
        <f t="shared" si="29"/>
        <v>20340151.101432044</v>
      </c>
      <c r="K57" s="227">
        <f t="shared" si="29"/>
        <v>21279861.840538468</v>
      </c>
      <c r="L57" s="227">
        <f t="shared" si="29"/>
        <v>22238366.794427011</v>
      </c>
      <c r="M57" s="227">
        <f t="shared" si="29"/>
        <v>23216041.847393345</v>
      </c>
      <c r="N57" s="227">
        <f t="shared" si="29"/>
        <v>380622775.81294221</v>
      </c>
    </row>
    <row r="61" spans="2:17">
      <c r="B61" s="280" t="s">
        <v>222</v>
      </c>
      <c r="C61" s="280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P61" s="389" t="s">
        <v>424</v>
      </c>
      <c r="Q61" s="279"/>
    </row>
    <row r="62" spans="2:17">
      <c r="B62" s="118" t="s">
        <v>273</v>
      </c>
    </row>
    <row r="63" spans="2:17">
      <c r="B63" s="134" t="s">
        <v>165</v>
      </c>
      <c r="C63" s="134"/>
      <c r="D63" s="224">
        <f>'res, market-rate'!E42</f>
        <v>0</v>
      </c>
      <c r="E63" s="224">
        <f>'res, market-rate'!F42</f>
        <v>0</v>
      </c>
      <c r="F63" s="224">
        <f>'res, market-rate'!G42</f>
        <v>0</v>
      </c>
      <c r="G63" s="224">
        <f>'res, market-rate'!H42</f>
        <v>0</v>
      </c>
      <c r="H63" s="224">
        <f>'res, market-rate'!I42</f>
        <v>0</v>
      </c>
      <c r="I63" s="224">
        <f>'res, market-rate'!J42</f>
        <v>1140402.2369058975</v>
      </c>
      <c r="J63" s="224">
        <f>'res, market-rate'!K42</f>
        <v>3601599.8408670807</v>
      </c>
      <c r="K63" s="224">
        <f>'res, market-rate'!L42</f>
        <v>3673631.8376844227</v>
      </c>
      <c r="L63" s="224">
        <f>'res, market-rate'!M42</f>
        <v>3747104.4744381104</v>
      </c>
      <c r="M63" s="224">
        <f>'res, market-rate'!N42</f>
        <v>3822046.5639268728</v>
      </c>
      <c r="N63" s="224">
        <f>'res, market-rate'!O42</f>
        <v>3898487.4952054103</v>
      </c>
      <c r="P63" s="387" t="s">
        <v>172</v>
      </c>
    </row>
    <row r="64" spans="2:17">
      <c r="B64" s="134" t="s">
        <v>157</v>
      </c>
      <c r="C64" s="134"/>
      <c r="D64" s="224">
        <f>'res, condo'!E46</f>
        <v>0</v>
      </c>
      <c r="E64" s="224">
        <f>'res, condo'!F46</f>
        <v>0</v>
      </c>
      <c r="F64" s="224">
        <f>'res, condo'!G46</f>
        <v>0</v>
      </c>
      <c r="G64" s="224">
        <f>'res, condo'!H46</f>
        <v>0</v>
      </c>
      <c r="H64" s="224">
        <f>'res, condo'!I46</f>
        <v>0</v>
      </c>
      <c r="I64" s="224">
        <f>'res, condo'!J46</f>
        <v>44721949.315943606</v>
      </c>
      <c r="J64" s="224">
        <f>'res, condo'!K46</f>
        <v>45616388.302262485</v>
      </c>
      <c r="K64" s="224">
        <f>'res, condo'!L46</f>
        <v>0</v>
      </c>
      <c r="L64" s="224">
        <f>'res, condo'!M46</f>
        <v>0</v>
      </c>
      <c r="M64" s="224">
        <f>'res, condo'!N46</f>
        <v>0</v>
      </c>
      <c r="N64" s="224">
        <f>'res, condo'!O46</f>
        <v>0</v>
      </c>
      <c r="P64" s="346" t="s">
        <v>278</v>
      </c>
      <c r="Q64" s="420">
        <f>ABS(SUM(G93:H93,G95:H95))</f>
        <v>288142786.15920115</v>
      </c>
    </row>
    <row r="65" spans="2:18">
      <c r="B65" s="134" t="s">
        <v>141</v>
      </c>
      <c r="C65" s="134"/>
      <c r="D65" s="224">
        <f>'res, affordable'!E40</f>
        <v>0</v>
      </c>
      <c r="E65" s="224">
        <f>'res, affordable'!F40</f>
        <v>0</v>
      </c>
      <c r="F65" s="224">
        <f>'res, affordable'!G40</f>
        <v>0</v>
      </c>
      <c r="G65" s="224">
        <f>'res, affordable'!H40</f>
        <v>0</v>
      </c>
      <c r="H65" s="224">
        <f>'res, affordable'!I40</f>
        <v>0</v>
      </c>
      <c r="I65" s="224">
        <f>'res, affordable'!J40</f>
        <v>267452.38004931458</v>
      </c>
      <c r="J65" s="224">
        <f>'res, affordable'!K40</f>
        <v>272801.42765030079</v>
      </c>
      <c r="K65" s="224">
        <f>'res, affordable'!L40</f>
        <v>278257.45620330679</v>
      </c>
      <c r="L65" s="224">
        <f>'res, affordable'!M40</f>
        <v>283822.6053273729</v>
      </c>
      <c r="M65" s="224">
        <f>'res, affordable'!N40</f>
        <v>289499.05743392033</v>
      </c>
      <c r="N65" s="224">
        <f>'res, affordable'!O40</f>
        <v>295289.03858259879</v>
      </c>
      <c r="P65" s="346" t="s">
        <v>420</v>
      </c>
      <c r="Q65" s="222">
        <f>Loantocost</f>
        <v>0.55000000000000004</v>
      </c>
    </row>
    <row r="66" spans="2:18">
      <c r="B66" s="134" t="s">
        <v>2</v>
      </c>
      <c r="C66" s="134"/>
      <c r="D66" s="224">
        <f>office!E45</f>
        <v>0</v>
      </c>
      <c r="E66" s="224">
        <f>office!F45</f>
        <v>0</v>
      </c>
      <c r="F66" s="224">
        <f>office!G45</f>
        <v>0</v>
      </c>
      <c r="G66" s="224">
        <f>office!H45</f>
        <v>0</v>
      </c>
      <c r="H66" s="224">
        <f>office!I45</f>
        <v>0</v>
      </c>
      <c r="I66" s="224">
        <f>office!J45</f>
        <v>3646308.147141621</v>
      </c>
      <c r="J66" s="224">
        <f>office!K45</f>
        <v>7438468.6201689057</v>
      </c>
      <c r="K66" s="224">
        <f>office!L45</f>
        <v>11380856.988858426</v>
      </c>
      <c r="L66" s="224">
        <f>office!M45</f>
        <v>11608474.128635593</v>
      </c>
      <c r="M66" s="224">
        <f>office!N45</f>
        <v>11840643.611208305</v>
      </c>
      <c r="N66" s="224">
        <f>office!O45</f>
        <v>12077456.483432472</v>
      </c>
      <c r="P66" s="346" t="s">
        <v>534</v>
      </c>
      <c r="Q66" s="227">
        <f>Q64*Q65</f>
        <v>158478532.38756064</v>
      </c>
    </row>
    <row r="67" spans="2:18">
      <c r="B67" s="134" t="s">
        <v>142</v>
      </c>
      <c r="C67" s="242"/>
      <c r="D67" s="224">
        <f>retail!E45</f>
        <v>0</v>
      </c>
      <c r="E67" s="224">
        <f>retail!F45</f>
        <v>0</v>
      </c>
      <c r="F67" s="224">
        <f>retail!G45</f>
        <v>0</v>
      </c>
      <c r="G67" s="224">
        <f>retail!H45</f>
        <v>0</v>
      </c>
      <c r="H67" s="224">
        <f>retail!I45</f>
        <v>0</v>
      </c>
      <c r="I67" s="224">
        <f>retail!J45</f>
        <v>2301200.2798674731</v>
      </c>
      <c r="J67" s="224">
        <f>retail!K45</f>
        <v>4694448.5709296446</v>
      </c>
      <c r="K67" s="224">
        <f>retail!L45</f>
        <v>4788337.5423482386</v>
      </c>
      <c r="L67" s="224">
        <f>retail!M45</f>
        <v>4884104.2931952029</v>
      </c>
      <c r="M67" s="224">
        <f>retail!N45</f>
        <v>4981786.379059107</v>
      </c>
      <c r="N67" s="224">
        <f>retail!O45</f>
        <v>5081422.1066402905</v>
      </c>
      <c r="P67" s="346" t="s">
        <v>415</v>
      </c>
      <c r="Q67" s="392" t="s">
        <v>100</v>
      </c>
    </row>
    <row r="68" spans="2:18">
      <c r="B68" s="134" t="s">
        <v>18</v>
      </c>
      <c r="C68" s="134"/>
      <c r="D68" s="224">
        <f>hotel!E46</f>
        <v>0</v>
      </c>
      <c r="E68" s="224">
        <f>hotel!F46</f>
        <v>0</v>
      </c>
      <c r="F68" s="224">
        <f>hotel!G46</f>
        <v>0</v>
      </c>
      <c r="G68" s="224">
        <f>hotel!H46</f>
        <v>0</v>
      </c>
      <c r="H68" s="224">
        <f>hotel!I46</f>
        <v>0</v>
      </c>
      <c r="I68" s="224">
        <f>hotel!J46</f>
        <v>6191044.5798888961</v>
      </c>
      <c r="J68" s="224">
        <f>hotel!K46</f>
        <v>6314865.4714866756</v>
      </c>
      <c r="K68" s="224">
        <f>hotel!L46</f>
        <v>6441162.7809164096</v>
      </c>
      <c r="L68" s="224">
        <f>hotel!M46</f>
        <v>6569986.0365347341</v>
      </c>
      <c r="M68" s="224">
        <f>hotel!N46</f>
        <v>6701385.7572654309</v>
      </c>
      <c r="N68" s="224">
        <f>hotel!O46</f>
        <v>6835413.4724107375</v>
      </c>
      <c r="P68" s="346" t="s">
        <v>416</v>
      </c>
      <c r="Q68" s="223">
        <f>Constructioninterestrate</f>
        <v>0.12</v>
      </c>
    </row>
    <row r="69" spans="2:18">
      <c r="B69" s="134" t="s">
        <v>19</v>
      </c>
      <c r="C69" s="134"/>
      <c r="D69" s="224">
        <f>parking!E44</f>
        <v>0</v>
      </c>
      <c r="E69" s="224">
        <f>parking!F44</f>
        <v>0</v>
      </c>
      <c r="F69" s="224">
        <f>parking!G44</f>
        <v>0</v>
      </c>
      <c r="G69" s="224">
        <f>parking!H44</f>
        <v>0</v>
      </c>
      <c r="H69" s="224">
        <f>parking!I44</f>
        <v>0</v>
      </c>
      <c r="I69" s="224">
        <f>parking!J44</f>
        <v>101434.41931745899</v>
      </c>
      <c r="J69" s="224">
        <f>parking!K44</f>
        <v>206926.21540761634</v>
      </c>
      <c r="K69" s="224">
        <f>parking!L44</f>
        <v>211064.73971576872</v>
      </c>
      <c r="L69" s="224">
        <f>parking!M44</f>
        <v>215286.03451008408</v>
      </c>
      <c r="M69" s="224">
        <f>parking!N44</f>
        <v>219591.7552002857</v>
      </c>
      <c r="N69" s="224">
        <f>parking!O44</f>
        <v>223983.59030429146</v>
      </c>
      <c r="P69" s="346" t="s">
        <v>417</v>
      </c>
      <c r="Q69" s="414">
        <f>Q66*R69</f>
        <v>11885889.929067047</v>
      </c>
      <c r="R69" s="223">
        <f>Constructionservicingfees</f>
        <v>7.4999999999999997E-2</v>
      </c>
    </row>
    <row r="70" spans="2:18">
      <c r="B70" s="134" t="s">
        <v>286</v>
      </c>
      <c r="C70" s="134"/>
      <c r="D70" s="225">
        <f>'public bldgs'!E37</f>
        <v>0</v>
      </c>
      <c r="E70" s="225">
        <f>'public bldgs'!F37</f>
        <v>0</v>
      </c>
      <c r="F70" s="225">
        <f>'public bldgs'!G37</f>
        <v>0</v>
      </c>
      <c r="G70" s="225">
        <f>'public bldgs'!H37</f>
        <v>0</v>
      </c>
      <c r="H70" s="225">
        <f>'public bldgs'!I37</f>
        <v>0</v>
      </c>
      <c r="I70" s="225">
        <f>'public bldgs'!J37</f>
        <v>169905.768048</v>
      </c>
      <c r="J70" s="225">
        <f>'public bldgs'!K37</f>
        <v>173303.88340896001</v>
      </c>
      <c r="K70" s="225">
        <f>'public bldgs'!L37</f>
        <v>176769.96107713922</v>
      </c>
      <c r="L70" s="225">
        <f>'public bldgs'!M37</f>
        <v>180305.36029868198</v>
      </c>
      <c r="M70" s="225">
        <f>'public bldgs'!N37</f>
        <v>183911.46750465562</v>
      </c>
      <c r="N70" s="225">
        <f>'public bldgs'!O37</f>
        <v>187589.69685474873</v>
      </c>
      <c r="P70" s="346" t="s">
        <v>414</v>
      </c>
      <c r="Q70" s="227">
        <f>Q64-Q66+Q69</f>
        <v>141550143.70070755</v>
      </c>
    </row>
    <row r="71" spans="2:18">
      <c r="B71" s="282" t="s">
        <v>328</v>
      </c>
      <c r="C71" s="134"/>
      <c r="D71" s="224">
        <f>SUM(D63:D70)</f>
        <v>0</v>
      </c>
      <c r="E71" s="224">
        <f t="shared" ref="E71" si="30">SUM(E63:E70)</f>
        <v>0</v>
      </c>
      <c r="F71" s="224">
        <f t="shared" ref="F71" si="31">SUM(F63:F70)</f>
        <v>0</v>
      </c>
      <c r="G71" s="224">
        <f t="shared" ref="G71" si="32">SUM(G63:G70)</f>
        <v>0</v>
      </c>
      <c r="H71" s="224">
        <f t="shared" ref="H71" si="33">SUM(H63:H70)</f>
        <v>0</v>
      </c>
      <c r="I71" s="224">
        <f t="shared" ref="I71" si="34">SUM(I63:I70)</f>
        <v>58539697.12716227</v>
      </c>
      <c r="J71" s="224">
        <f t="shared" ref="J71" si="35">SUM(J63:J70)</f>
        <v>68318802.332181662</v>
      </c>
      <c r="K71" s="224">
        <f t="shared" ref="K71" si="36">SUM(K63:K70)</f>
        <v>26950081.306803711</v>
      </c>
      <c r="L71" s="224">
        <f t="shared" ref="L71" si="37">SUM(L63:L70)</f>
        <v>27489082.932939779</v>
      </c>
      <c r="M71" s="224">
        <f t="shared" ref="M71" si="38">SUM(M63:M70)</f>
        <v>28038864.591598574</v>
      </c>
      <c r="N71" s="224">
        <f t="shared" ref="N71" si="39">SUM(N63:N70)</f>
        <v>28599641.883430548</v>
      </c>
    </row>
    <row r="72" spans="2:18">
      <c r="B72" s="134"/>
      <c r="C72" s="13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</row>
    <row r="73" spans="2:18">
      <c r="B73" s="118" t="s">
        <v>196</v>
      </c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</row>
    <row r="74" spans="2:18">
      <c r="B74" s="134" t="s">
        <v>165</v>
      </c>
      <c r="C74" s="134"/>
      <c r="D74" s="224">
        <f>'res, market-rate'!E46</f>
        <v>0</v>
      </c>
      <c r="E74" s="224">
        <f>'res, market-rate'!F46</f>
        <v>0</v>
      </c>
      <c r="F74" s="224">
        <f>'res, market-rate'!G46</f>
        <v>0</v>
      </c>
      <c r="G74" s="224">
        <f>'res, market-rate'!H46</f>
        <v>0</v>
      </c>
      <c r="H74" s="224">
        <f>'res, market-rate'!I46</f>
        <v>0</v>
      </c>
      <c r="I74" s="224">
        <f>'res, market-rate'!J46</f>
        <v>-7254.6500347424981</v>
      </c>
      <c r="J74" s="224">
        <f>'res, market-rate'!K46</f>
        <v>-9311.9388505649986</v>
      </c>
      <c r="K74" s="224">
        <f>'res, market-rate'!L46</f>
        <v>-9311.9388505649986</v>
      </c>
      <c r="L74" s="224">
        <f>'res, market-rate'!M46</f>
        <v>-9311.9388505649986</v>
      </c>
      <c r="M74" s="224">
        <f>'res, market-rate'!N46</f>
        <v>-9311.9388505649986</v>
      </c>
      <c r="N74" s="224">
        <f>'res, market-rate'!O46</f>
        <v>-9311.9388505649986</v>
      </c>
      <c r="P74" s="387" t="s">
        <v>173</v>
      </c>
    </row>
    <row r="75" spans="2:18">
      <c r="B75" s="134" t="s">
        <v>157</v>
      </c>
      <c r="C75" s="134"/>
      <c r="D75" s="224">
        <f>'res, condo'!E50</f>
        <v>0</v>
      </c>
      <c r="E75" s="224">
        <f>'res, condo'!F50</f>
        <v>0</v>
      </c>
      <c r="F75" s="224">
        <f>'res, condo'!G50</f>
        <v>0</v>
      </c>
      <c r="G75" s="224">
        <f>'res, condo'!H50</f>
        <v>0</v>
      </c>
      <c r="H75" s="224">
        <f>'res, condo'!I50</f>
        <v>0</v>
      </c>
      <c r="I75" s="224">
        <f>'res, condo'!J50</f>
        <v>0</v>
      </c>
      <c r="J75" s="224">
        <f>'res, condo'!K50</f>
        <v>0</v>
      </c>
      <c r="K75" s="224">
        <f>'res, condo'!L50</f>
        <v>0</v>
      </c>
      <c r="L75" s="224">
        <f>'res, condo'!M50</f>
        <v>0</v>
      </c>
      <c r="M75" s="224">
        <f>'res, condo'!N50</f>
        <v>0</v>
      </c>
      <c r="N75" s="224">
        <f>'res, condo'!O50</f>
        <v>0</v>
      </c>
      <c r="P75" s="346" t="s">
        <v>418</v>
      </c>
      <c r="Q75" s="224">
        <f>SUMIF(D2:N2,phase2stabilizationyear,$D71:$N71)</f>
        <v>26950081.306803711</v>
      </c>
    </row>
    <row r="76" spans="2:18">
      <c r="B76" s="134" t="s">
        <v>141</v>
      </c>
      <c r="C76" s="134"/>
      <c r="D76" s="224">
        <f>'res, affordable'!E44</f>
        <v>0</v>
      </c>
      <c r="E76" s="224">
        <f>'res, affordable'!F44</f>
        <v>0</v>
      </c>
      <c r="F76" s="224">
        <f>'res, affordable'!G44</f>
        <v>0</v>
      </c>
      <c r="G76" s="224">
        <f>'res, affordable'!H44</f>
        <v>0</v>
      </c>
      <c r="H76" s="224">
        <f>'res, affordable'!I44</f>
        <v>0</v>
      </c>
      <c r="I76" s="224">
        <f>'res, affordable'!J44</f>
        <v>-1291.7453287499998</v>
      </c>
      <c r="J76" s="224">
        <f>'res, affordable'!K44</f>
        <v>-1291.7453287499998</v>
      </c>
      <c r="K76" s="224">
        <f>'res, affordable'!L44</f>
        <v>-1291.7453287499998</v>
      </c>
      <c r="L76" s="224">
        <f>'res, affordable'!M44</f>
        <v>-1291.7453287499998</v>
      </c>
      <c r="M76" s="224">
        <f>'res, affordable'!N44</f>
        <v>-1291.7453287499998</v>
      </c>
      <c r="N76" s="224">
        <f>'res, affordable'!O44</f>
        <v>-1291.7453287499998</v>
      </c>
      <c r="P76" s="346" t="s">
        <v>419</v>
      </c>
      <c r="Q76" s="223">
        <f>blendedcaprate+R76</f>
        <v>8.5718030535887224E-2</v>
      </c>
      <c r="R76" s="554">
        <v>0.01</v>
      </c>
    </row>
    <row r="77" spans="2:18">
      <c r="B77" s="134" t="s">
        <v>2</v>
      </c>
      <c r="C77" s="134"/>
      <c r="D77" s="224">
        <f>office!E49</f>
        <v>0</v>
      </c>
      <c r="E77" s="224">
        <f>office!F49</f>
        <v>0</v>
      </c>
      <c r="F77" s="224">
        <f>office!G49</f>
        <v>0</v>
      </c>
      <c r="G77" s="224">
        <f>office!H49</f>
        <v>0</v>
      </c>
      <c r="H77" s="224">
        <f>office!I49</f>
        <v>0</v>
      </c>
      <c r="I77" s="224">
        <f>office!J49</f>
        <v>-23476.619159583337</v>
      </c>
      <c r="J77" s="224">
        <f>office!K49</f>
        <v>-28659.768844166669</v>
      </c>
      <c r="K77" s="224">
        <f>office!L49</f>
        <v>-33842.91852875</v>
      </c>
      <c r="L77" s="224">
        <f>office!M49</f>
        <v>-33842.91852875</v>
      </c>
      <c r="M77" s="224">
        <f>office!N49</f>
        <v>-33842.91852875</v>
      </c>
      <c r="N77" s="224">
        <f>office!O49</f>
        <v>-33842.91852875</v>
      </c>
      <c r="P77" s="346" t="s">
        <v>240</v>
      </c>
      <c r="Q77" s="227">
        <f>Q75/Q76</f>
        <v>314403879.07093394</v>
      </c>
    </row>
    <row r="78" spans="2:18">
      <c r="B78" s="242" t="s">
        <v>142</v>
      </c>
      <c r="C78" s="242"/>
      <c r="D78" s="224">
        <f>retail!E49</f>
        <v>0</v>
      </c>
      <c r="E78" s="224">
        <f>retail!F49</f>
        <v>0</v>
      </c>
      <c r="F78" s="224">
        <f>retail!G49</f>
        <v>0</v>
      </c>
      <c r="G78" s="224">
        <f>retail!H49</f>
        <v>0</v>
      </c>
      <c r="H78" s="224">
        <f>retail!I49</f>
        <v>0</v>
      </c>
      <c r="I78" s="224">
        <f>retail!J49</f>
        <v>-14816.192269083336</v>
      </c>
      <c r="J78" s="224">
        <f>retail!K49</f>
        <v>-18087.299653166669</v>
      </c>
      <c r="K78" s="224">
        <f>retail!L49</f>
        <v>-18087.299653166669</v>
      </c>
      <c r="L78" s="224">
        <f>retail!M49</f>
        <v>-18087.299653166669</v>
      </c>
      <c r="M78" s="224">
        <f>retail!N49</f>
        <v>-18087.299653166669</v>
      </c>
      <c r="N78" s="224">
        <f>retail!O49</f>
        <v>-18087.299653166669</v>
      </c>
      <c r="P78" s="346" t="s">
        <v>421</v>
      </c>
      <c r="Q78" s="388">
        <f>loantovalue</f>
        <v>0.65</v>
      </c>
    </row>
    <row r="79" spans="2:18">
      <c r="B79" s="134" t="s">
        <v>18</v>
      </c>
      <c r="C79" s="134"/>
      <c r="D79" s="224">
        <f>hotel!E50</f>
        <v>0</v>
      </c>
      <c r="E79" s="224">
        <f>hotel!F50</f>
        <v>0</v>
      </c>
      <c r="F79" s="224">
        <f>hotel!G50</f>
        <v>0</v>
      </c>
      <c r="G79" s="224">
        <f>hotel!H50</f>
        <v>0</v>
      </c>
      <c r="H79" s="224">
        <f>hotel!I50</f>
        <v>0</v>
      </c>
      <c r="I79" s="224">
        <f>hotel!J50</f>
        <v>-8370.7531575000012</v>
      </c>
      <c r="J79" s="224">
        <f>hotel!K50</f>
        <v>-8370.7531575000012</v>
      </c>
      <c r="K79" s="224">
        <f>hotel!L50</f>
        <v>-8370.7531575000012</v>
      </c>
      <c r="L79" s="224">
        <f>hotel!M50</f>
        <v>-8370.7531575000012</v>
      </c>
      <c r="M79" s="224">
        <f>hotel!N50</f>
        <v>-8370.7531575000012</v>
      </c>
      <c r="N79" s="224">
        <f>hotel!O50</f>
        <v>-8370.7531575000012</v>
      </c>
      <c r="P79" s="346" t="s">
        <v>413</v>
      </c>
      <c r="Q79" s="227">
        <f>Q77*Q78</f>
        <v>204362521.39610708</v>
      </c>
    </row>
    <row r="80" spans="2:18">
      <c r="B80" s="134" t="s">
        <v>19</v>
      </c>
      <c r="C80" s="134"/>
      <c r="D80" s="224">
        <f>parking!E48</f>
        <v>0</v>
      </c>
      <c r="E80" s="224">
        <f>parking!F48</f>
        <v>0</v>
      </c>
      <c r="F80" s="224">
        <f>parking!G48</f>
        <v>0</v>
      </c>
      <c r="G80" s="224">
        <f>parking!H48</f>
        <v>0</v>
      </c>
      <c r="H80" s="224">
        <f>parking!I48</f>
        <v>0</v>
      </c>
      <c r="I80" s="224">
        <f>parking!J48</f>
        <v>-1014.8334885</v>
      </c>
      <c r="J80" s="224">
        <f>parking!K48</f>
        <v>-1014.8334885</v>
      </c>
      <c r="K80" s="224">
        <f>parking!L48</f>
        <v>-1014.8334885</v>
      </c>
      <c r="L80" s="224">
        <f>parking!M48</f>
        <v>-1014.8334885</v>
      </c>
      <c r="M80" s="224">
        <f>parking!N48</f>
        <v>-1014.8334885</v>
      </c>
      <c r="N80" s="224">
        <f>parking!O48</f>
        <v>-1014.8334885</v>
      </c>
      <c r="P80" s="346" t="s">
        <v>415</v>
      </c>
      <c r="Q80" s="392" t="s">
        <v>429</v>
      </c>
    </row>
    <row r="81" spans="2:18">
      <c r="B81" s="134" t="s">
        <v>304</v>
      </c>
      <c r="C81" s="134"/>
      <c r="D81" s="225">
        <f>'public bldgs'!E40</f>
        <v>0</v>
      </c>
      <c r="E81" s="225">
        <f>'public bldgs'!F40</f>
        <v>0</v>
      </c>
      <c r="F81" s="225">
        <f>'public bldgs'!G40</f>
        <v>0</v>
      </c>
      <c r="G81" s="225">
        <f>'public bldgs'!H40</f>
        <v>0</v>
      </c>
      <c r="H81" s="225">
        <f>'public bldgs'!I40</f>
        <v>0</v>
      </c>
      <c r="I81" s="225">
        <f>'public bldgs'!J40</f>
        <v>-4262.2263599999997</v>
      </c>
      <c r="J81" s="225">
        <f>'public bldgs'!K40</f>
        <v>-4262.2263599999997</v>
      </c>
      <c r="K81" s="225">
        <f>'public bldgs'!L40</f>
        <v>-4262.2263599999997</v>
      </c>
      <c r="L81" s="225">
        <f>'public bldgs'!M40</f>
        <v>-4262.2263599999997</v>
      </c>
      <c r="M81" s="225">
        <f>'public bldgs'!N40</f>
        <v>-4262.2263599999997</v>
      </c>
      <c r="N81" s="225">
        <f>'public bldgs'!O40</f>
        <v>-4262.2263599999997</v>
      </c>
      <c r="P81" s="346" t="s">
        <v>416</v>
      </c>
      <c r="Q81" s="223">
        <f>permanentinterestrate</f>
        <v>6.5000000000000002E-2</v>
      </c>
    </row>
    <row r="82" spans="2:18">
      <c r="B82" s="282" t="s">
        <v>329</v>
      </c>
      <c r="C82" s="134"/>
      <c r="D82" s="224">
        <f>SUM(D74:D81)</f>
        <v>0</v>
      </c>
      <c r="E82" s="224">
        <f t="shared" ref="E82" si="40">SUM(E74:E81)</f>
        <v>0</v>
      </c>
      <c r="F82" s="224">
        <f t="shared" ref="F82" si="41">SUM(F74:F81)</f>
        <v>0</v>
      </c>
      <c r="G82" s="224">
        <f t="shared" ref="G82" si="42">SUM(G74:G81)</f>
        <v>0</v>
      </c>
      <c r="H82" s="224">
        <f t="shared" ref="H82" si="43">SUM(H74:H81)</f>
        <v>0</v>
      </c>
      <c r="I82" s="224">
        <f t="shared" ref="I82" si="44">SUM(I74:I81)</f>
        <v>-60487.019798159177</v>
      </c>
      <c r="J82" s="224">
        <f t="shared" ref="J82" si="45">SUM(J74:J81)</f>
        <v>-70998.565682648332</v>
      </c>
      <c r="K82" s="224">
        <f t="shared" ref="K82" si="46">SUM(K74:K81)</f>
        <v>-76181.715367231664</v>
      </c>
      <c r="L82" s="224">
        <f t="shared" ref="L82" si="47">SUM(L74:L81)</f>
        <v>-76181.715367231664</v>
      </c>
      <c r="M82" s="224">
        <f t="shared" ref="M82" si="48">SUM(M74:M81)</f>
        <v>-76181.715367231664</v>
      </c>
      <c r="N82" s="224">
        <f t="shared" ref="N82" si="49">SUM(N74:N81)</f>
        <v>-76181.715367231664</v>
      </c>
      <c r="P82" s="346" t="s">
        <v>422</v>
      </c>
      <c r="Q82" s="386">
        <f>amortizationschedule</f>
        <v>30</v>
      </c>
    </row>
    <row r="83" spans="2:18">
      <c r="B83" s="134"/>
      <c r="C83" s="13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P83" s="346" t="s">
        <v>451</v>
      </c>
      <c r="Q83" s="224">
        <f>'p2'!E66*12</f>
        <v>15500521.796985108</v>
      </c>
      <c r="R83" s="223">
        <f>permanentservicingfees</f>
        <v>7.4999999999999997E-2</v>
      </c>
    </row>
    <row r="84" spans="2:18">
      <c r="B84" s="118" t="s">
        <v>197</v>
      </c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P84" s="346" t="s">
        <v>417</v>
      </c>
      <c r="Q84" s="227">
        <f>Q79*R83</f>
        <v>15327189.104708031</v>
      </c>
    </row>
    <row r="85" spans="2:18">
      <c r="B85" s="134" t="s">
        <v>165</v>
      </c>
      <c r="C85" s="134"/>
      <c r="D85" s="224">
        <f>'res, market-rate'!E50</f>
        <v>0</v>
      </c>
      <c r="E85" s="224">
        <f>'res, market-rate'!F50</f>
        <v>0</v>
      </c>
      <c r="F85" s="224">
        <f>'res, market-rate'!G50</f>
        <v>0</v>
      </c>
      <c r="G85" s="224">
        <f>'res, market-rate'!H50</f>
        <v>-17191126.038880117</v>
      </c>
      <c r="H85" s="224">
        <f>'res, market-rate'!I50</f>
        <v>-17534948.559657719</v>
      </c>
      <c r="I85" s="224">
        <f>'res, market-rate'!J50</f>
        <v>0</v>
      </c>
      <c r="J85" s="224">
        <f>'res, market-rate'!K50</f>
        <v>0</v>
      </c>
      <c r="K85" s="224">
        <f>'res, market-rate'!L50</f>
        <v>0</v>
      </c>
      <c r="L85" s="224">
        <f>'res, market-rate'!M50</f>
        <v>0</v>
      </c>
      <c r="M85" s="224">
        <f>'res, market-rate'!N50</f>
        <v>0</v>
      </c>
      <c r="N85" s="224">
        <f>'res, market-rate'!O50</f>
        <v>58608435.704798639</v>
      </c>
      <c r="P85" s="346" t="s">
        <v>423</v>
      </c>
      <c r="Q85" s="227">
        <f>SUM(D64:N64)</f>
        <v>90338337.618206084</v>
      </c>
    </row>
    <row r="86" spans="2:18">
      <c r="B86" s="134" t="s">
        <v>157</v>
      </c>
      <c r="C86" s="134"/>
      <c r="D86" s="224">
        <f>'res, condo'!E54</f>
        <v>0</v>
      </c>
      <c r="E86" s="224">
        <f>'res, condo'!F54</f>
        <v>0</v>
      </c>
      <c r="F86" s="224">
        <f>'res, condo'!G54</f>
        <v>0</v>
      </c>
      <c r="G86" s="224">
        <f>'res, condo'!H54</f>
        <v>-26552721.592605848</v>
      </c>
      <c r="H86" s="224">
        <f>'res, condo'!I54</f>
        <v>-27083776.024457965</v>
      </c>
      <c r="I86" s="224">
        <f>'res, condo'!J54</f>
        <v>0</v>
      </c>
      <c r="J86" s="224">
        <f>'res, condo'!K54</f>
        <v>0</v>
      </c>
      <c r="K86" s="224">
        <f>'res, condo'!L54</f>
        <v>0</v>
      </c>
      <c r="L86" s="224">
        <f>'res, condo'!M54</f>
        <v>0</v>
      </c>
      <c r="M86" s="224">
        <f>'res, condo'!N54</f>
        <v>0</v>
      </c>
      <c r="N86" s="224">
        <f>'res, condo'!O54</f>
        <v>0</v>
      </c>
    </row>
    <row r="87" spans="2:18">
      <c r="B87" s="134" t="s">
        <v>141</v>
      </c>
      <c r="C87" s="134"/>
      <c r="D87" s="224">
        <f>'res, affordable'!E48</f>
        <v>0</v>
      </c>
      <c r="E87" s="224">
        <f>'res, affordable'!F48</f>
        <v>0</v>
      </c>
      <c r="F87" s="224">
        <f>'res, affordable'!G48</f>
        <v>0</v>
      </c>
      <c r="G87" s="224">
        <f>'res, affordable'!H48</f>
        <v>-1870894.5878333244</v>
      </c>
      <c r="H87" s="224">
        <f>'res, affordable'!I48</f>
        <v>-1908312.4795899906</v>
      </c>
      <c r="I87" s="224">
        <f>'res, affordable'!J48</f>
        <v>0</v>
      </c>
      <c r="J87" s="224">
        <f>'res, affordable'!K48</f>
        <v>0</v>
      </c>
      <c r="K87" s="224">
        <f>'res, affordable'!L48</f>
        <v>0</v>
      </c>
      <c r="L87" s="224">
        <f>'res, affordable'!M48</f>
        <v>0</v>
      </c>
      <c r="M87" s="224">
        <f>'res, affordable'!N48</f>
        <v>0</v>
      </c>
      <c r="N87" s="224">
        <f>'res, affordable'!O48</f>
        <v>4429335.5787389819</v>
      </c>
    </row>
    <row r="88" spans="2:18">
      <c r="B88" s="134" t="s">
        <v>2</v>
      </c>
      <c r="C88" s="134"/>
      <c r="D88" s="224">
        <f>office!E53</f>
        <v>0</v>
      </c>
      <c r="E88" s="224">
        <f>office!F53</f>
        <v>0</v>
      </c>
      <c r="F88" s="224">
        <f>office!G53</f>
        <v>0</v>
      </c>
      <c r="G88" s="224">
        <f>office!H53</f>
        <v>-32006317.697024707</v>
      </c>
      <c r="H88" s="224">
        <f>office!I53</f>
        <v>-32646444.050965201</v>
      </c>
      <c r="I88" s="224">
        <f>office!J53</f>
        <v>0</v>
      </c>
      <c r="J88" s="224">
        <f>office!K53</f>
        <v>0</v>
      </c>
      <c r="K88" s="224">
        <f>office!L53</f>
        <v>0</v>
      </c>
      <c r="L88" s="224">
        <f>office!M53</f>
        <v>0</v>
      </c>
      <c r="M88" s="224">
        <f>office!N53</f>
        <v>0</v>
      </c>
      <c r="N88" s="224">
        <f>office!O53</f>
        <v>142010509.70037434</v>
      </c>
    </row>
    <row r="89" spans="2:18">
      <c r="B89" s="242" t="s">
        <v>142</v>
      </c>
      <c r="C89" s="242"/>
      <c r="D89" s="224">
        <f>retail!E53</f>
        <v>0</v>
      </c>
      <c r="E89" s="224">
        <f>retail!F53</f>
        <v>0</v>
      </c>
      <c r="F89" s="224">
        <f>retail!G53</f>
        <v>0</v>
      </c>
      <c r="G89" s="224">
        <f>retail!H53</f>
        <v>-20199320.592160549</v>
      </c>
      <c r="H89" s="224">
        <f>retail!I53</f>
        <v>-20603307.004003759</v>
      </c>
      <c r="I89" s="224">
        <f>retail!J53</f>
        <v>0</v>
      </c>
      <c r="J89" s="224">
        <f>retail!K53</f>
        <v>0</v>
      </c>
      <c r="K89" s="224">
        <f>retail!L53</f>
        <v>0</v>
      </c>
      <c r="L89" s="224">
        <f>retail!M53</f>
        <v>0</v>
      </c>
      <c r="M89" s="224">
        <f>retail!N53</f>
        <v>0</v>
      </c>
      <c r="N89" s="224">
        <f>retail!O53</f>
        <v>72944377.69363752</v>
      </c>
    </row>
    <row r="90" spans="2:18">
      <c r="B90" s="134" t="s">
        <v>18</v>
      </c>
      <c r="C90" s="134"/>
      <c r="D90" s="224">
        <f>hotel!E54</f>
        <v>0</v>
      </c>
      <c r="E90" s="224">
        <f>hotel!F54</f>
        <v>0</v>
      </c>
      <c r="F90" s="224">
        <f>hotel!G54</f>
        <v>0</v>
      </c>
      <c r="G90" s="224">
        <f>hotel!H54</f>
        <v>-36054976.762160823</v>
      </c>
      <c r="H90" s="224">
        <f>hotel!I54</f>
        <v>-36776076.297404036</v>
      </c>
      <c r="I90" s="224">
        <f>hotel!J54</f>
        <v>0</v>
      </c>
      <c r="J90" s="224">
        <f>hotel!K54</f>
        <v>0</v>
      </c>
      <c r="K90" s="224">
        <f>hotel!L54</f>
        <v>0</v>
      </c>
      <c r="L90" s="224">
        <f>hotel!M54</f>
        <v>0</v>
      </c>
      <c r="M90" s="224">
        <f>hotel!N54</f>
        <v>0</v>
      </c>
      <c r="N90" s="224">
        <f>hotel!O54</f>
        <v>102531202.08616105</v>
      </c>
    </row>
    <row r="91" spans="2:18">
      <c r="B91" s="134" t="s">
        <v>19</v>
      </c>
      <c r="C91" s="134"/>
      <c r="D91" s="224">
        <f>parking!E52</f>
        <v>0</v>
      </c>
      <c r="E91" s="224">
        <f>parking!F52</f>
        <v>0</v>
      </c>
      <c r="F91" s="224">
        <f>parking!G52</f>
        <v>0</v>
      </c>
      <c r="G91" s="224">
        <f>parking!H52</f>
        <v>-2023679.4594178495</v>
      </c>
      <c r="H91" s="224">
        <f>parking!I52</f>
        <v>-2064153.0486062064</v>
      </c>
      <c r="I91" s="224">
        <f>parking!J52</f>
        <v>0</v>
      </c>
      <c r="J91" s="224">
        <f>parking!K52</f>
        <v>0</v>
      </c>
      <c r="K91" s="224">
        <f>parking!L52</f>
        <v>0</v>
      </c>
      <c r="L91" s="224">
        <f>parking!M52</f>
        <v>0</v>
      </c>
      <c r="M91" s="224">
        <f>parking!N52</f>
        <v>0</v>
      </c>
      <c r="N91" s="224">
        <f>parking!O52</f>
        <v>2183840.0054668416</v>
      </c>
    </row>
    <row r="92" spans="2:18">
      <c r="B92" s="134" t="s">
        <v>286</v>
      </c>
      <c r="C92" s="134"/>
      <c r="D92" s="225">
        <f>'public bldgs'!E43</f>
        <v>0</v>
      </c>
      <c r="E92" s="225">
        <f>'public bldgs'!F43</f>
        <v>0</v>
      </c>
      <c r="F92" s="225">
        <f>'public bldgs'!G43</f>
        <v>0</v>
      </c>
      <c r="G92" s="225">
        <f>'public bldgs'!H43</f>
        <v>-5737031.2695212997</v>
      </c>
      <c r="H92" s="225">
        <f>'public bldgs'!I43</f>
        <v>-5851771.8949117251</v>
      </c>
      <c r="I92" s="225">
        <f>'public bldgs'!J43</f>
        <v>0</v>
      </c>
      <c r="J92" s="225">
        <f>'public bldgs'!K43</f>
        <v>0</v>
      </c>
      <c r="K92" s="225">
        <f>'public bldgs'!L43</f>
        <v>0</v>
      </c>
      <c r="L92" s="225">
        <f>'public bldgs'!M43</f>
        <v>0</v>
      </c>
      <c r="M92" s="225">
        <f>'public bldgs'!N43</f>
        <v>0</v>
      </c>
      <c r="N92" s="225">
        <f>'public bldgs'!O43</f>
        <v>0</v>
      </c>
      <c r="O92" s="224"/>
    </row>
    <row r="93" spans="2:18">
      <c r="B93" s="282" t="s">
        <v>330</v>
      </c>
      <c r="C93" s="134"/>
      <c r="D93" s="224">
        <f>SUM(D85:D92)</f>
        <v>0</v>
      </c>
      <c r="E93" s="224">
        <f t="shared" ref="E93" si="50">SUM(E85:E92)</f>
        <v>0</v>
      </c>
      <c r="F93" s="224">
        <f t="shared" ref="F93" si="51">SUM(F85:F92)</f>
        <v>0</v>
      </c>
      <c r="G93" s="224">
        <f t="shared" ref="G93" si="52">SUM(G85:G92)</f>
        <v>-141636067.99960452</v>
      </c>
      <c r="H93" s="224">
        <f t="shared" ref="H93" si="53">SUM(H85:H92)</f>
        <v>-144468789.35959664</v>
      </c>
      <c r="I93" s="224">
        <f t="shared" ref="I93" si="54">SUM(I85:I92)</f>
        <v>0</v>
      </c>
      <c r="J93" s="224">
        <f t="shared" ref="J93" si="55">SUM(J85:J92)</f>
        <v>0</v>
      </c>
      <c r="K93" s="224">
        <f t="shared" ref="K93" si="56">SUM(K85:K92)</f>
        <v>0</v>
      </c>
      <c r="L93" s="224">
        <f t="shared" ref="L93" si="57">SUM(L85:L92)</f>
        <v>0</v>
      </c>
      <c r="M93" s="224">
        <f t="shared" ref="M93" si="58">SUM(M85:M92)</f>
        <v>0</v>
      </c>
      <c r="N93" s="224">
        <f t="shared" ref="N93" si="59">SUM(N85:N92)</f>
        <v>382707700.76917732</v>
      </c>
    </row>
    <row r="94" spans="2:18">
      <c r="B94" s="134"/>
      <c r="C94" s="13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</row>
    <row r="95" spans="2:18">
      <c r="B95" s="118" t="s">
        <v>303</v>
      </c>
      <c r="D95" s="224">
        <f>-IF(OR(D$2=Phase2begin,D$2=Phase2end,AND(D$2&gt;Phase2begin,D$2&lt;Phase2end)),infstrc!$L$24/Constructiontime,0)</f>
        <v>0</v>
      </c>
      <c r="E95" s="224">
        <f>-IF(OR(E$2=Phase2begin,E$2=Phase2end,AND(E$2&gt;Phase2begin,E$2&lt;Phase2end)),infstrc!$L$24/Constructiontime,0)</f>
        <v>0</v>
      </c>
      <c r="F95" s="224">
        <f>-IF(OR(F$2=Phase2begin,F$2=Phase2end,AND(F$2&gt;Phase2begin,F$2&lt;Phase2end)),infstrc!$L$24/Constructiontime,0)</f>
        <v>0</v>
      </c>
      <c r="G95" s="224">
        <f>-IF(OR(G$2=Phase2begin,G$2=Phase2end,AND(G$2&gt;Phase2begin,G$2&lt;Phase2end)),infstrc!$L$24/Constructiontime,0)</f>
        <v>-1018964.3999999999</v>
      </c>
      <c r="H95" s="224">
        <f>-IF(OR(H$2=Phase2begin,H$2=Phase2end,AND(H$2&gt;Phase2begin,H$2&lt;Phase2end)),infstrc!$L$24/Constructiontime,0)</f>
        <v>-1018964.3999999999</v>
      </c>
      <c r="I95" s="224">
        <f>-IF(OR(I$2=Phase2begin,I$2=Phase2end,AND(I$2&gt;Phase2begin,I$2&lt;Phase2end)),infstrc!$L$24/Constructiontime,0)</f>
        <v>0</v>
      </c>
      <c r="J95" s="224">
        <f>-IF(OR(J$2=Phase2begin,J$2=Phase2end,AND(J$2&gt;Phase2begin,J$2&lt;Phase2end)),infstrc!$L$24/Constructiontime,0)</f>
        <v>0</v>
      </c>
      <c r="K95" s="224">
        <f>-IF(OR(K$2=Phase2begin,K$2=Phase2end,AND(K$2&gt;Phase2begin,K$2&lt;Phase2end)),infstrc!$L$24/Constructiontime,0)</f>
        <v>0</v>
      </c>
      <c r="L95" s="224">
        <f>-IF(OR(L$2=Phase2begin,L$2=Phase2end,AND(L$2&gt;Phase2begin,L$2&lt;Phase2end)),infstrc!$L$24/Constructiontime,0)</f>
        <v>0</v>
      </c>
      <c r="M95" s="224">
        <f>-IF(OR(M$2=Phase2begin,M$2=Phase2end,AND(M$2&gt;Phase2begin,M$2&lt;Phase2end)),infstrc!$L$24/Constructiontime,0)</f>
        <v>0</v>
      </c>
      <c r="N95" s="224">
        <f>-IF(OR(N$2=Phase2begin,N$2=Phase2end,AND(N$2&gt;Phase2begin,N$2&lt;Phase2end)),infstrc!$L$24/Constructiontime,0)</f>
        <v>0</v>
      </c>
    </row>
    <row r="96" spans="2:18">
      <c r="B96" s="118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</row>
    <row r="97" spans="2:14">
      <c r="B97" s="118" t="s">
        <v>170</v>
      </c>
      <c r="C97" s="228">
        <f>IRR(D97:N97)</f>
        <v>0.16358376917209028</v>
      </c>
      <c r="D97" s="227">
        <f>SUM(D71,D82,D93,D95)</f>
        <v>0</v>
      </c>
      <c r="E97" s="227">
        <f t="shared" ref="E97" si="60">SUM(E71,E82,E93,E95)</f>
        <v>0</v>
      </c>
      <c r="F97" s="227">
        <f t="shared" ref="F97" si="61">SUM(F71,F82,F93,F95)</f>
        <v>0</v>
      </c>
      <c r="G97" s="227">
        <f t="shared" ref="G97" si="62">SUM(G71,G82,G93,G95)</f>
        <v>-142655032.39960453</v>
      </c>
      <c r="H97" s="227">
        <f t="shared" ref="H97" si="63">SUM(H71,H82,H93,H95)</f>
        <v>-145487753.75959665</v>
      </c>
      <c r="I97" s="227">
        <f t="shared" ref="I97" si="64">SUM(I71,I82,I93,I95)</f>
        <v>58479210.107364111</v>
      </c>
      <c r="J97" s="227">
        <f t="shared" ref="J97" si="65">SUM(J71,J82,J93,J95)</f>
        <v>68247803.766499013</v>
      </c>
      <c r="K97" s="227">
        <f t="shared" ref="K97" si="66">SUM(K71,K82,K93,K95)</f>
        <v>26873899.591436479</v>
      </c>
      <c r="L97" s="227">
        <f t="shared" ref="L97" si="67">SUM(L71,L82,L93,L95)</f>
        <v>27412901.217572547</v>
      </c>
      <c r="M97" s="227">
        <f t="shared" ref="M97" si="68">SUM(M71,M82,M93,M95)</f>
        <v>27962682.876231343</v>
      </c>
      <c r="N97" s="227">
        <f t="shared" ref="N97" si="69">SUM(N71,N82,N93,N95)</f>
        <v>411231160.93724066</v>
      </c>
    </row>
    <row r="98" spans="2:14">
      <c r="B98" s="118"/>
    </row>
    <row r="99" spans="2:14">
      <c r="B99" s="118" t="s">
        <v>455</v>
      </c>
    </row>
    <row r="101" spans="2:14">
      <c r="B101" s="120" t="s">
        <v>431</v>
      </c>
      <c r="D101" s="227">
        <f t="shared" ref="D101:N101" si="70">IF(D97&lt;0,D93+D95,0)</f>
        <v>0</v>
      </c>
      <c r="E101" s="227">
        <f t="shared" si="70"/>
        <v>0</v>
      </c>
      <c r="F101" s="227">
        <f t="shared" si="70"/>
        <v>0</v>
      </c>
      <c r="G101" s="227">
        <f t="shared" si="70"/>
        <v>-142655032.39960453</v>
      </c>
      <c r="H101" s="227">
        <f t="shared" si="70"/>
        <v>-145487753.75959665</v>
      </c>
      <c r="I101" s="227">
        <f t="shared" si="70"/>
        <v>0</v>
      </c>
      <c r="J101" s="227">
        <f t="shared" si="70"/>
        <v>0</v>
      </c>
      <c r="K101" s="227">
        <f t="shared" si="70"/>
        <v>0</v>
      </c>
      <c r="L101" s="227">
        <f t="shared" si="70"/>
        <v>0</v>
      </c>
      <c r="M101" s="227">
        <f t="shared" si="70"/>
        <v>0</v>
      </c>
      <c r="N101" s="227">
        <f t="shared" si="70"/>
        <v>0</v>
      </c>
    </row>
    <row r="102" spans="2:14"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</row>
    <row r="103" spans="2:14">
      <c r="B103" s="136" t="s">
        <v>172</v>
      </c>
      <c r="C103" s="135"/>
    </row>
    <row r="104" spans="2:14">
      <c r="B104" s="135" t="s">
        <v>414</v>
      </c>
      <c r="D104" s="224">
        <f t="shared" ref="D104:N104" si="71">-IF(D$2=Phase2begin,$Q70,0)</f>
        <v>0</v>
      </c>
      <c r="E104" s="224">
        <f t="shared" si="71"/>
        <v>0</v>
      </c>
      <c r="F104" s="224">
        <f t="shared" si="71"/>
        <v>0</v>
      </c>
      <c r="G104" s="224">
        <f t="shared" si="71"/>
        <v>-141550143.70070755</v>
      </c>
      <c r="H104" s="224">
        <f t="shared" si="71"/>
        <v>0</v>
      </c>
      <c r="I104" s="224">
        <f t="shared" si="71"/>
        <v>0</v>
      </c>
      <c r="J104" s="224">
        <f t="shared" si="71"/>
        <v>0</v>
      </c>
      <c r="K104" s="224">
        <f t="shared" si="71"/>
        <v>0</v>
      </c>
      <c r="L104" s="224">
        <f t="shared" si="71"/>
        <v>0</v>
      </c>
      <c r="M104" s="224">
        <f t="shared" si="71"/>
        <v>0</v>
      </c>
      <c r="N104" s="224">
        <f t="shared" si="71"/>
        <v>0</v>
      </c>
    </row>
    <row r="105" spans="2:14">
      <c r="B105" s="135" t="s">
        <v>430</v>
      </c>
      <c r="D105" s="224">
        <f>-(D101-D104)</f>
        <v>0</v>
      </c>
      <c r="E105" s="224">
        <f t="shared" ref="E105:N105" si="72">-(E101-E104)</f>
        <v>0</v>
      </c>
      <c r="F105" s="224">
        <f t="shared" si="72"/>
        <v>0</v>
      </c>
      <c r="G105" s="224">
        <f t="shared" si="72"/>
        <v>1104888.6988969743</v>
      </c>
      <c r="H105" s="224">
        <f t="shared" si="72"/>
        <v>145487753.75959665</v>
      </c>
      <c r="I105" s="224">
        <f t="shared" si="72"/>
        <v>0</v>
      </c>
      <c r="J105" s="224">
        <f t="shared" si="72"/>
        <v>0</v>
      </c>
      <c r="K105" s="224">
        <f t="shared" si="72"/>
        <v>0</v>
      </c>
      <c r="L105" s="224">
        <f t="shared" si="72"/>
        <v>0</v>
      </c>
      <c r="M105" s="224">
        <f t="shared" si="72"/>
        <v>0</v>
      </c>
      <c r="N105" s="224">
        <f t="shared" si="72"/>
        <v>0</v>
      </c>
    </row>
    <row r="106" spans="2:14">
      <c r="B106" s="135" t="s">
        <v>425</v>
      </c>
      <c r="C106" s="135"/>
      <c r="D106" s="224">
        <f t="shared" ref="D106:N106" si="73">-IF(OR(D$2=Phase2begin,D$2=Phase2end,AND(D$2&gt;Phase2begin,D$2&lt;Phase2end)),D105*$Q68,0)</f>
        <v>0</v>
      </c>
      <c r="E106" s="224">
        <f t="shared" si="73"/>
        <v>0</v>
      </c>
      <c r="F106" s="224">
        <f t="shared" si="73"/>
        <v>0</v>
      </c>
      <c r="G106" s="224">
        <f t="shared" si="73"/>
        <v>-132586.64386763691</v>
      </c>
      <c r="H106" s="224">
        <f t="shared" si="73"/>
        <v>-17458530.451151598</v>
      </c>
      <c r="I106" s="224">
        <f t="shared" si="73"/>
        <v>0</v>
      </c>
      <c r="J106" s="224">
        <f t="shared" si="73"/>
        <v>0</v>
      </c>
      <c r="K106" s="224">
        <f t="shared" si="73"/>
        <v>0</v>
      </c>
      <c r="L106" s="224">
        <f t="shared" si="73"/>
        <v>0</v>
      </c>
      <c r="M106" s="224">
        <f t="shared" si="73"/>
        <v>0</v>
      </c>
      <c r="N106" s="224">
        <f t="shared" si="73"/>
        <v>0</v>
      </c>
    </row>
    <row r="107" spans="2:14">
      <c r="B107" s="135" t="s">
        <v>426</v>
      </c>
      <c r="C107" s="135"/>
      <c r="D107" s="224">
        <f>-IF(D$2=Phase2end+1,SUM($D105:D105),0)</f>
        <v>0</v>
      </c>
      <c r="E107" s="224">
        <f>-IF(E$2=Phase2end+1,SUM($D105:E105),0)</f>
        <v>0</v>
      </c>
      <c r="F107" s="224">
        <f>-IF(F$2=Phase2end+1,SUM($D105:F105),0)</f>
        <v>0</v>
      </c>
      <c r="G107" s="224">
        <f>-IF(G$2=Phase2end+1,SUM($D105:G105),0)</f>
        <v>0</v>
      </c>
      <c r="H107" s="224">
        <f>-IF(H$2=Phase2end+1,SUM($D105:H105),0)</f>
        <v>0</v>
      </c>
      <c r="I107" s="224">
        <f>-IF(I$2=Phase2end+1,SUM($D105:I105),0)</f>
        <v>-146592642.45849362</v>
      </c>
      <c r="J107" s="224">
        <f>-IF(J$2=Phase2end+1,SUM($D105:J105),0)</f>
        <v>0</v>
      </c>
      <c r="K107" s="224">
        <f>-IF(K$2=Phase2end+1,SUM($D105:K105),0)</f>
        <v>0</v>
      </c>
      <c r="L107" s="224">
        <f>-IF(L$2=Phase2end+1,SUM($D105:L105),0)</f>
        <v>0</v>
      </c>
      <c r="M107" s="224">
        <f>-IF(M$2=Phase2end+1,SUM($D105:M105),0)</f>
        <v>0</v>
      </c>
      <c r="N107" s="224">
        <f>-IF(N$2=Phase2end+1,SUM($D105:N105),0)</f>
        <v>0</v>
      </c>
    </row>
    <row r="109" spans="2:14">
      <c r="B109" s="136" t="s">
        <v>173</v>
      </c>
      <c r="C109" s="135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</row>
    <row r="110" spans="2:14">
      <c r="B110" s="135" t="s">
        <v>452</v>
      </c>
      <c r="C110" s="135"/>
      <c r="D110" s="224">
        <f t="shared" ref="D110:N110" si="74">-IF(D$2=Phase2open,$Q84,0)</f>
        <v>0</v>
      </c>
      <c r="E110" s="224">
        <f t="shared" si="74"/>
        <v>0</v>
      </c>
      <c r="F110" s="224">
        <f t="shared" si="74"/>
        <v>0</v>
      </c>
      <c r="G110" s="224">
        <f t="shared" si="74"/>
        <v>0</v>
      </c>
      <c r="H110" s="224">
        <f t="shared" si="74"/>
        <v>0</v>
      </c>
      <c r="I110" s="224">
        <f t="shared" si="74"/>
        <v>-15327189.104708031</v>
      </c>
      <c r="J110" s="224">
        <f t="shared" si="74"/>
        <v>0</v>
      </c>
      <c r="K110" s="224">
        <f t="shared" si="74"/>
        <v>0</v>
      </c>
      <c r="L110" s="224">
        <f t="shared" si="74"/>
        <v>0</v>
      </c>
      <c r="M110" s="224">
        <f t="shared" si="74"/>
        <v>0</v>
      </c>
      <c r="N110" s="224">
        <f t="shared" si="74"/>
        <v>0</v>
      </c>
    </row>
    <row r="111" spans="2:14">
      <c r="B111" s="135" t="s">
        <v>430</v>
      </c>
      <c r="C111" s="135"/>
      <c r="D111" s="224">
        <f t="shared" ref="D111:N111" si="75">IF(D$2=Phase2open,$Q79,0)</f>
        <v>0</v>
      </c>
      <c r="E111" s="224">
        <f t="shared" si="75"/>
        <v>0</v>
      </c>
      <c r="F111" s="224">
        <f t="shared" si="75"/>
        <v>0</v>
      </c>
      <c r="G111" s="224">
        <f t="shared" si="75"/>
        <v>0</v>
      </c>
      <c r="H111" s="224">
        <f t="shared" si="75"/>
        <v>0</v>
      </c>
      <c r="I111" s="224">
        <f t="shared" si="75"/>
        <v>204362521.39610708</v>
      </c>
      <c r="J111" s="224">
        <f t="shared" si="75"/>
        <v>0</v>
      </c>
      <c r="K111" s="224">
        <f t="shared" si="75"/>
        <v>0</v>
      </c>
      <c r="L111" s="224">
        <f t="shared" si="75"/>
        <v>0</v>
      </c>
      <c r="M111" s="224">
        <f t="shared" si="75"/>
        <v>0</v>
      </c>
      <c r="N111" s="224">
        <f t="shared" si="75"/>
        <v>0</v>
      </c>
    </row>
    <row r="112" spans="2:14">
      <c r="B112" s="135" t="s">
        <v>450</v>
      </c>
      <c r="C112" s="135"/>
      <c r="D112" s="224">
        <f t="shared" ref="D112:N112" si="76">-IF(D$2&gt;=Phase2open,$Q83,0)</f>
        <v>0</v>
      </c>
      <c r="E112" s="224">
        <f t="shared" si="76"/>
        <v>0</v>
      </c>
      <c r="F112" s="224">
        <f t="shared" si="76"/>
        <v>0</v>
      </c>
      <c r="G112" s="224">
        <f t="shared" si="76"/>
        <v>0</v>
      </c>
      <c r="H112" s="224">
        <f t="shared" si="76"/>
        <v>0</v>
      </c>
      <c r="I112" s="224">
        <f t="shared" si="76"/>
        <v>-15500521.796985108</v>
      </c>
      <c r="J112" s="224">
        <f t="shared" si="76"/>
        <v>-15500521.796985108</v>
      </c>
      <c r="K112" s="224">
        <f t="shared" si="76"/>
        <v>-15500521.796985108</v>
      </c>
      <c r="L112" s="224">
        <f t="shared" si="76"/>
        <v>-15500521.796985108</v>
      </c>
      <c r="M112" s="224">
        <f t="shared" si="76"/>
        <v>-15500521.796985108</v>
      </c>
      <c r="N112" s="224">
        <f t="shared" si="76"/>
        <v>-15500521.796985108</v>
      </c>
    </row>
    <row r="113" spans="2:18">
      <c r="B113" s="135" t="s">
        <v>426</v>
      </c>
      <c r="C113" s="135"/>
      <c r="D113" s="224">
        <f>-IF(D$2=dispositionyear,'p2'!$E$16,0)</f>
        <v>0</v>
      </c>
      <c r="E113" s="224">
        <f>-IF(E$2=dispositionyear,'p2'!$E$16,0)</f>
        <v>0</v>
      </c>
      <c r="F113" s="224">
        <f>-IF(F$2=dispositionyear,'p2'!$E$16,0)</f>
        <v>0</v>
      </c>
      <c r="G113" s="224">
        <f>-IF(G$2=dispositionyear,'p2'!$E$16,0)</f>
        <v>0</v>
      </c>
      <c r="H113" s="224">
        <f>-IF(H$2=dispositionyear,'p2'!$E$16,0)</f>
        <v>0</v>
      </c>
      <c r="I113" s="224">
        <f>-IF(I$2=dispositionyear,'p2'!$E$16,0)</f>
        <v>0</v>
      </c>
      <c r="J113" s="224">
        <f>-IF(J$2=dispositionyear,'p2'!$E$16,0)</f>
        <v>0</v>
      </c>
      <c r="K113" s="224">
        <f>-IF(K$2=dispositionyear,'p2'!$E$16,0)</f>
        <v>0</v>
      </c>
      <c r="L113" s="224">
        <f>-IF(L$2=dispositionyear,'p2'!$E$16,0)</f>
        <v>0</v>
      </c>
      <c r="M113" s="224">
        <f>-IF(M$2=dispositionyear,'p2'!$E$16,0)</f>
        <v>0</v>
      </c>
      <c r="N113" s="224">
        <f>-IF(N$2=dispositionyear,'p2'!$E$16,0)</f>
        <v>-191305753.80312139</v>
      </c>
    </row>
    <row r="114" spans="2:18">
      <c r="C114" s="229"/>
    </row>
    <row r="115" spans="2:18">
      <c r="B115" s="118" t="s">
        <v>174</v>
      </c>
      <c r="C115" s="228">
        <f>IRR(D115:N115)</f>
        <v>0.5811681988354287</v>
      </c>
      <c r="D115" s="227">
        <f t="shared" ref="D115:N115" si="77">SUM(D71,D82)+SUM(D104:D113)+IF(D$2=dispositionyear,D93)</f>
        <v>0</v>
      </c>
      <c r="E115" s="227">
        <f t="shared" si="77"/>
        <v>0</v>
      </c>
      <c r="F115" s="227">
        <f t="shared" si="77"/>
        <v>0</v>
      </c>
      <c r="G115" s="227">
        <f t="shared" si="77"/>
        <v>-140577841.64567822</v>
      </c>
      <c r="H115" s="227">
        <f t="shared" si="77"/>
        <v>128029223.30844505</v>
      </c>
      <c r="I115" s="227">
        <f t="shared" si="77"/>
        <v>85421378.14328441</v>
      </c>
      <c r="J115" s="227">
        <f t="shared" si="77"/>
        <v>52747281.969513908</v>
      </c>
      <c r="K115" s="227">
        <f t="shared" si="77"/>
        <v>11373377.794451371</v>
      </c>
      <c r="L115" s="227">
        <f t="shared" si="77"/>
        <v>11912379.420587439</v>
      </c>
      <c r="M115" s="227">
        <f t="shared" si="77"/>
        <v>12462161.079246234</v>
      </c>
      <c r="N115" s="227">
        <f t="shared" si="77"/>
        <v>204424885.33713412</v>
      </c>
    </row>
    <row r="117" spans="2:18">
      <c r="B117" s="280" t="s">
        <v>326</v>
      </c>
      <c r="C117" s="280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P117" s="389" t="s">
        <v>424</v>
      </c>
      <c r="Q117" s="279"/>
    </row>
    <row r="118" spans="2:18">
      <c r="B118" s="118" t="s">
        <v>273</v>
      </c>
    </row>
    <row r="119" spans="2:18">
      <c r="B119" s="134" t="s">
        <v>165</v>
      </c>
      <c r="C119" s="134"/>
      <c r="D119" s="224">
        <f>'res, market-rate'!E66</f>
        <v>0</v>
      </c>
      <c r="E119" s="224">
        <f>'res, market-rate'!F66</f>
        <v>0</v>
      </c>
      <c r="F119" s="224">
        <f>'res, market-rate'!G66</f>
        <v>0</v>
      </c>
      <c r="G119" s="224">
        <f>'res, market-rate'!H66</f>
        <v>0</v>
      </c>
      <c r="H119" s="224">
        <f>'res, market-rate'!I66</f>
        <v>0</v>
      </c>
      <c r="I119" s="224">
        <f>'res, market-rate'!J66</f>
        <v>0</v>
      </c>
      <c r="J119" s="224">
        <f>'res, market-rate'!K66</f>
        <v>0</v>
      </c>
      <c r="K119" s="224">
        <f>'res, market-rate'!L66</f>
        <v>1057020.1938570302</v>
      </c>
      <c r="L119" s="224">
        <f>'res, market-rate'!M66</f>
        <v>3634846.5143950158</v>
      </c>
      <c r="M119" s="224">
        <f>'res, market-rate'!N66</f>
        <v>3707543.4446829166</v>
      </c>
      <c r="N119" s="224">
        <f>'res, market-rate'!O66</f>
        <v>3781694.3135765754</v>
      </c>
      <c r="P119" s="387" t="s">
        <v>172</v>
      </c>
    </row>
    <row r="120" spans="2:18">
      <c r="B120" s="134" t="s">
        <v>157</v>
      </c>
      <c r="C120" s="134"/>
      <c r="D120" s="224">
        <f>'res, condo'!E73</f>
        <v>0</v>
      </c>
      <c r="E120" s="224">
        <f>'res, condo'!F73</f>
        <v>0</v>
      </c>
      <c r="F120" s="224">
        <f>'res, condo'!G73</f>
        <v>0</v>
      </c>
      <c r="G120" s="224">
        <f>'res, condo'!H73</f>
        <v>0</v>
      </c>
      <c r="H120" s="224">
        <f>'res, condo'!I73</f>
        <v>0</v>
      </c>
      <c r="I120" s="224">
        <f>'res, condo'!J73</f>
        <v>0</v>
      </c>
      <c r="J120" s="224">
        <f>'res, condo'!K73</f>
        <v>0</v>
      </c>
      <c r="K120" s="224">
        <f>'res, condo'!L73</f>
        <v>0</v>
      </c>
      <c r="L120" s="224">
        <f>'res, condo'!M73</f>
        <v>0</v>
      </c>
      <c r="M120" s="224">
        <f>'res, condo'!N73</f>
        <v>0</v>
      </c>
      <c r="N120" s="224">
        <f>'res, condo'!O73</f>
        <v>0</v>
      </c>
      <c r="P120" s="346" t="s">
        <v>278</v>
      </c>
      <c r="Q120" s="420">
        <f>ABS(SUM(I149:J149,I151:J151))</f>
        <v>183217110.26595426</v>
      </c>
    </row>
    <row r="121" spans="2:18">
      <c r="B121" s="134" t="s">
        <v>141</v>
      </c>
      <c r="C121" s="134"/>
      <c r="D121" s="224">
        <f>'res, affordable'!E64</f>
        <v>0</v>
      </c>
      <c r="E121" s="224">
        <f>'res, affordable'!F64</f>
        <v>0</v>
      </c>
      <c r="F121" s="224">
        <f>'res, affordable'!G64</f>
        <v>0</v>
      </c>
      <c r="G121" s="224">
        <f>'res, affordable'!H64</f>
        <v>0</v>
      </c>
      <c r="H121" s="224">
        <f>'res, affordable'!I64</f>
        <v>0</v>
      </c>
      <c r="I121" s="224">
        <f>'res, affordable'!J64</f>
        <v>0</v>
      </c>
      <c r="J121" s="224">
        <f>'res, affordable'!K64</f>
        <v>0</v>
      </c>
      <c r="K121" s="224">
        <f>'res, affordable'!L64</f>
        <v>983252.00164081971</v>
      </c>
      <c r="L121" s="224">
        <f>'res, affordable'!M64</f>
        <v>1002917.0416736358</v>
      </c>
      <c r="M121" s="224">
        <f>'res, affordable'!N64</f>
        <v>1022975.3825071087</v>
      </c>
      <c r="N121" s="224">
        <f>'res, affordable'!O64</f>
        <v>1043434.8901572508</v>
      </c>
      <c r="P121" s="346" t="s">
        <v>420</v>
      </c>
      <c r="Q121" s="222">
        <f>Loantocost</f>
        <v>0.55000000000000004</v>
      </c>
    </row>
    <row r="122" spans="2:18">
      <c r="B122" s="134" t="s">
        <v>2</v>
      </c>
      <c r="C122" s="134"/>
      <c r="D122" s="224">
        <f>office!E71</f>
        <v>0</v>
      </c>
      <c r="E122" s="224">
        <f>office!F71</f>
        <v>0</v>
      </c>
      <c r="F122" s="224">
        <f>office!G71</f>
        <v>0</v>
      </c>
      <c r="G122" s="224">
        <f>office!H71</f>
        <v>0</v>
      </c>
      <c r="H122" s="224">
        <f>office!I71</f>
        <v>0</v>
      </c>
      <c r="I122" s="224">
        <f>office!J71</f>
        <v>0</v>
      </c>
      <c r="J122" s="224">
        <f>office!K71</f>
        <v>0</v>
      </c>
      <c r="K122" s="224">
        <f>office!L71</f>
        <v>6465844.5714370022</v>
      </c>
      <c r="L122" s="224">
        <f>office!M71</f>
        <v>13190322.92573148</v>
      </c>
      <c r="M122" s="224">
        <f>office!N71</f>
        <v>20181194.076369166</v>
      </c>
      <c r="N122" s="224">
        <f>office!O71</f>
        <v>20584817.957896546</v>
      </c>
      <c r="P122" s="346" t="s">
        <v>534</v>
      </c>
      <c r="Q122" s="227">
        <f>Q120*Q121</f>
        <v>100769410.64627485</v>
      </c>
    </row>
    <row r="123" spans="2:18">
      <c r="B123" s="134" t="s">
        <v>142</v>
      </c>
      <c r="C123" s="242"/>
      <c r="D123" s="224">
        <f>retail!E70</f>
        <v>0</v>
      </c>
      <c r="E123" s="224">
        <f>retail!F70</f>
        <v>0</v>
      </c>
      <c r="F123" s="224">
        <f>retail!G70</f>
        <v>0</v>
      </c>
      <c r="G123" s="224">
        <f>retail!H70</f>
        <v>0</v>
      </c>
      <c r="H123" s="224">
        <f>retail!I70</f>
        <v>0</v>
      </c>
      <c r="I123" s="224">
        <f>retail!J70</f>
        <v>0</v>
      </c>
      <c r="J123" s="224">
        <f>retail!K70</f>
        <v>0</v>
      </c>
      <c r="K123" s="224">
        <f>retail!L70</f>
        <v>590738.89353115333</v>
      </c>
      <c r="L123" s="224">
        <f>retail!M70</f>
        <v>1205107.3428035527</v>
      </c>
      <c r="M123" s="224">
        <f>retail!N70</f>
        <v>1229209.4896596239</v>
      </c>
      <c r="N123" s="224">
        <f>retail!O70</f>
        <v>1253793.6794528165</v>
      </c>
      <c r="P123" s="346" t="s">
        <v>415</v>
      </c>
      <c r="Q123" s="392" t="s">
        <v>100</v>
      </c>
    </row>
    <row r="124" spans="2:18">
      <c r="B124" s="134" t="s">
        <v>18</v>
      </c>
      <c r="C124" s="134"/>
      <c r="D124" s="224">
        <f>hotel!E73</f>
        <v>0</v>
      </c>
      <c r="E124" s="224">
        <f>hotel!F73</f>
        <v>0</v>
      </c>
      <c r="F124" s="224">
        <f>hotel!G73</f>
        <v>0</v>
      </c>
      <c r="G124" s="224">
        <f>hotel!H73</f>
        <v>0</v>
      </c>
      <c r="H124" s="224">
        <f>hotel!I73</f>
        <v>0</v>
      </c>
      <c r="I124" s="224">
        <f>hotel!J73</f>
        <v>0</v>
      </c>
      <c r="J124" s="224">
        <f>hotel!K73</f>
        <v>0</v>
      </c>
      <c r="K124" s="224">
        <f>hotel!L73</f>
        <v>0</v>
      </c>
      <c r="L124" s="224">
        <f>hotel!M73</f>
        <v>0</v>
      </c>
      <c r="M124" s="224">
        <f>hotel!N73</f>
        <v>0</v>
      </c>
      <c r="N124" s="224">
        <f>hotel!O73</f>
        <v>0</v>
      </c>
      <c r="P124" s="346" t="s">
        <v>416</v>
      </c>
      <c r="Q124" s="223">
        <f>Constructioninterestrate</f>
        <v>0.12</v>
      </c>
    </row>
    <row r="125" spans="2:18">
      <c r="B125" s="134" t="s">
        <v>19</v>
      </c>
      <c r="C125" s="134"/>
      <c r="D125" s="226">
        <f>parking!E70</f>
        <v>0</v>
      </c>
      <c r="E125" s="226">
        <f>parking!F70</f>
        <v>0</v>
      </c>
      <c r="F125" s="226">
        <f>parking!G70</f>
        <v>0</v>
      </c>
      <c r="G125" s="226">
        <f>parking!H70</f>
        <v>0</v>
      </c>
      <c r="H125" s="226">
        <f>parking!I70</f>
        <v>0</v>
      </c>
      <c r="I125" s="226">
        <f>parking!J70</f>
        <v>0</v>
      </c>
      <c r="J125" s="226">
        <f>parking!K70</f>
        <v>0</v>
      </c>
      <c r="K125" s="226">
        <f>parking!L70</f>
        <v>176496.75219728844</v>
      </c>
      <c r="L125" s="226">
        <f>parking!M70</f>
        <v>360053.37448246824</v>
      </c>
      <c r="M125" s="226">
        <f>parking!N70</f>
        <v>367254.44197211764</v>
      </c>
      <c r="N125" s="226">
        <f>parking!O70</f>
        <v>374599.53081156011</v>
      </c>
      <c r="P125" s="346" t="s">
        <v>417</v>
      </c>
      <c r="Q125" s="414">
        <f>Q122*R125</f>
        <v>7557705.7984706135</v>
      </c>
      <c r="R125" s="223">
        <f>Constructionservicingfees</f>
        <v>7.4999999999999997E-2</v>
      </c>
    </row>
    <row r="126" spans="2:18">
      <c r="B126" s="134" t="s">
        <v>286</v>
      </c>
      <c r="C126" s="134"/>
      <c r="D126" s="225">
        <f>'public bldgs'!E57</f>
        <v>0</v>
      </c>
      <c r="E126" s="225">
        <f>'public bldgs'!F57</f>
        <v>0</v>
      </c>
      <c r="F126" s="225">
        <f>'public bldgs'!G57</f>
        <v>0</v>
      </c>
      <c r="G126" s="225">
        <f>'public bldgs'!H57</f>
        <v>0</v>
      </c>
      <c r="H126" s="225">
        <f>'public bldgs'!I57</f>
        <v>0</v>
      </c>
      <c r="I126" s="225">
        <f>'public bldgs'!J57</f>
        <v>0</v>
      </c>
      <c r="J126" s="225">
        <f>'public bldgs'!K57</f>
        <v>0</v>
      </c>
      <c r="K126" s="225">
        <f>'public bldgs'!L57</f>
        <v>0</v>
      </c>
      <c r="L126" s="225">
        <f>'public bldgs'!M57</f>
        <v>0</v>
      </c>
      <c r="M126" s="225">
        <f>'public bldgs'!N57</f>
        <v>0</v>
      </c>
      <c r="N126" s="225">
        <f>'public bldgs'!O57</f>
        <v>0</v>
      </c>
      <c r="P126" s="346" t="s">
        <v>414</v>
      </c>
      <c r="Q126" s="227">
        <f>Q120-Q122+Q125</f>
        <v>90005405.418150023</v>
      </c>
    </row>
    <row r="127" spans="2:18">
      <c r="B127" s="282" t="s">
        <v>328</v>
      </c>
      <c r="C127" s="134"/>
      <c r="D127" s="224">
        <f>SUM(D119:D126)</f>
        <v>0</v>
      </c>
      <c r="E127" s="224">
        <f t="shared" ref="E127" si="78">SUM(E119:E126)</f>
        <v>0</v>
      </c>
      <c r="F127" s="224">
        <f t="shared" ref="F127" si="79">SUM(F119:F126)</f>
        <v>0</v>
      </c>
      <c r="G127" s="224">
        <f t="shared" ref="G127" si="80">SUM(G119:G126)</f>
        <v>0</v>
      </c>
      <c r="H127" s="224">
        <f t="shared" ref="H127" si="81">SUM(H119:H126)</f>
        <v>0</v>
      </c>
      <c r="I127" s="224">
        <f t="shared" ref="I127" si="82">SUM(I119:I126)</f>
        <v>0</v>
      </c>
      <c r="J127" s="224">
        <f t="shared" ref="J127" si="83">SUM(J119:J126)</f>
        <v>0</v>
      </c>
      <c r="K127" s="224">
        <f t="shared" ref="K127" si="84">SUM(K119:K126)</f>
        <v>9273352.412663294</v>
      </c>
      <c r="L127" s="224">
        <f t="shared" ref="L127" si="85">SUM(L119:L126)</f>
        <v>19393247.199086152</v>
      </c>
      <c r="M127" s="224">
        <f t="shared" ref="M127" si="86">SUM(M119:M126)</f>
        <v>26508176.835190933</v>
      </c>
      <c r="N127" s="224">
        <f t="shared" ref="N127" si="87">SUM(N119:N126)</f>
        <v>27038340.371894747</v>
      </c>
    </row>
    <row r="128" spans="2:18">
      <c r="B128" s="134"/>
      <c r="C128" s="13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</row>
    <row r="129" spans="2:18">
      <c r="B129" s="118" t="s">
        <v>196</v>
      </c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</row>
    <row r="130" spans="2:18">
      <c r="B130" s="134" t="s">
        <v>165</v>
      </c>
      <c r="C130" s="134"/>
      <c r="D130" s="224">
        <f>'res, market-rate'!E70</f>
        <v>0</v>
      </c>
      <c r="E130" s="224">
        <f>'res, market-rate'!F70</f>
        <v>0</v>
      </c>
      <c r="F130" s="224">
        <f>'res, market-rate'!G70</f>
        <v>0</v>
      </c>
      <c r="G130" s="224">
        <f>'res, market-rate'!H70</f>
        <v>0</v>
      </c>
      <c r="H130" s="224">
        <f>'res, market-rate'!I70</f>
        <v>0</v>
      </c>
      <c r="I130" s="224">
        <f>'res, market-rate'!J70</f>
        <v>0</v>
      </c>
      <c r="J130" s="224">
        <f>'res, market-rate'!K70</f>
        <v>0</v>
      </c>
      <c r="K130" s="224">
        <f>'res, market-rate'!L70</f>
        <v>-8084.8812003665626</v>
      </c>
      <c r="L130" s="224">
        <f>'res, market-rate'!M70</f>
        <v>-10377.608704948125</v>
      </c>
      <c r="M130" s="224">
        <f>'res, market-rate'!N70</f>
        <v>-10377.608704948125</v>
      </c>
      <c r="N130" s="224">
        <f>'res, market-rate'!O70</f>
        <v>-10377.608704948125</v>
      </c>
      <c r="P130" s="387" t="s">
        <v>173</v>
      </c>
    </row>
    <row r="131" spans="2:18">
      <c r="B131" s="134" t="s">
        <v>157</v>
      </c>
      <c r="C131" s="134"/>
      <c r="D131" s="224">
        <f>'res, condo'!E77</f>
        <v>0</v>
      </c>
      <c r="E131" s="224">
        <f>'res, condo'!F77</f>
        <v>0</v>
      </c>
      <c r="F131" s="224">
        <f>'res, condo'!G77</f>
        <v>0</v>
      </c>
      <c r="G131" s="224">
        <f>'res, condo'!H77</f>
        <v>0</v>
      </c>
      <c r="H131" s="224">
        <f>'res, condo'!I77</f>
        <v>0</v>
      </c>
      <c r="I131" s="224">
        <f>'res, condo'!J77</f>
        <v>0</v>
      </c>
      <c r="J131" s="224">
        <f>'res, condo'!K77</f>
        <v>0</v>
      </c>
      <c r="K131" s="224">
        <f>'res, condo'!L77</f>
        <v>0</v>
      </c>
      <c r="L131" s="224">
        <f>'res, condo'!M77</f>
        <v>0</v>
      </c>
      <c r="M131" s="224">
        <f>'res, condo'!N77</f>
        <v>0</v>
      </c>
      <c r="N131" s="224">
        <f>'res, condo'!O77</f>
        <v>0</v>
      </c>
      <c r="P131" s="346" t="s">
        <v>418</v>
      </c>
      <c r="Q131" s="224">
        <f>SUMIF(D2:N2,phase3stabilizationyear,$D127:$N127)</f>
        <v>26508176.835190933</v>
      </c>
    </row>
    <row r="132" spans="2:18">
      <c r="B132" s="134" t="s">
        <v>141</v>
      </c>
      <c r="C132" s="134"/>
      <c r="D132" s="224">
        <f>'res, affordable'!E68</f>
        <v>0</v>
      </c>
      <c r="E132" s="224">
        <f>'res, affordable'!F68</f>
        <v>0</v>
      </c>
      <c r="F132" s="224">
        <f>'res, affordable'!G68</f>
        <v>0</v>
      </c>
      <c r="G132" s="224">
        <f>'res, affordable'!H68</f>
        <v>0</v>
      </c>
      <c r="H132" s="224">
        <f>'res, affordable'!I68</f>
        <v>0</v>
      </c>
      <c r="I132" s="224">
        <f>'res, affordable'!J68</f>
        <v>0</v>
      </c>
      <c r="J132" s="224">
        <f>'res, affordable'!K68</f>
        <v>0</v>
      </c>
      <c r="K132" s="224">
        <f>'res, affordable'!L68</f>
        <v>-4564.5180453874991</v>
      </c>
      <c r="L132" s="224">
        <f>'res, affordable'!M68</f>
        <v>-4564.5180453874991</v>
      </c>
      <c r="M132" s="224">
        <f>'res, affordable'!N68</f>
        <v>-4564.5180453874991</v>
      </c>
      <c r="N132" s="224">
        <f>'res, affordable'!O68</f>
        <v>-4564.5180453874991</v>
      </c>
      <c r="P132" s="346" t="s">
        <v>419</v>
      </c>
      <c r="Q132" s="223">
        <f>blendedcaprate+R132</f>
        <v>8.5718030535887224E-2</v>
      </c>
      <c r="R132" s="554">
        <v>0.01</v>
      </c>
    </row>
    <row r="133" spans="2:18">
      <c r="B133" s="134" t="s">
        <v>2</v>
      </c>
      <c r="C133" s="134"/>
      <c r="D133" s="224">
        <f>office!E75</f>
        <v>0</v>
      </c>
      <c r="E133" s="224">
        <f>office!F75</f>
        <v>0</v>
      </c>
      <c r="F133" s="224">
        <f>office!G75</f>
        <v>0</v>
      </c>
      <c r="G133" s="224">
        <f>office!H75</f>
        <v>0</v>
      </c>
      <c r="H133" s="224">
        <f>office!I75</f>
        <v>0</v>
      </c>
      <c r="I133" s="224">
        <f>office!J75</f>
        <v>0</v>
      </c>
      <c r="J133" s="224">
        <f>office!K75</f>
        <v>0</v>
      </c>
      <c r="K133" s="224">
        <f>office!L75</f>
        <v>-43342.582398500002</v>
      </c>
      <c r="L133" s="224">
        <f>office!M75</f>
        <v>-52911.723966999998</v>
      </c>
      <c r="M133" s="224">
        <f>office!N75</f>
        <v>-62480.865535500001</v>
      </c>
      <c r="N133" s="224">
        <f>office!O75</f>
        <v>-62480.865535500001</v>
      </c>
      <c r="P133" s="346" t="s">
        <v>240</v>
      </c>
      <c r="Q133" s="227">
        <f>Q131/Q132</f>
        <v>309248552.13621432</v>
      </c>
    </row>
    <row r="134" spans="2:18">
      <c r="B134" s="242" t="s">
        <v>142</v>
      </c>
      <c r="C134" s="242"/>
      <c r="D134" s="224">
        <f>retail!E74</f>
        <v>0</v>
      </c>
      <c r="E134" s="224">
        <f>retail!F74</f>
        <v>0</v>
      </c>
      <c r="F134" s="224">
        <f>retail!G74</f>
        <v>0</v>
      </c>
      <c r="G134" s="224">
        <f>retail!H74</f>
        <v>0</v>
      </c>
      <c r="H134" s="224">
        <f>retail!I74</f>
        <v>0</v>
      </c>
      <c r="I134" s="224">
        <f>retail!J74</f>
        <v>0</v>
      </c>
      <c r="J134" s="224">
        <f>retail!K74</f>
        <v>0</v>
      </c>
      <c r="K134" s="224">
        <f>retail!L74</f>
        <v>-3959.9079263333338</v>
      </c>
      <c r="L134" s="224">
        <f>retail!M74</f>
        <v>-4834.1733126666668</v>
      </c>
      <c r="M134" s="224">
        <f>retail!N74</f>
        <v>-4834.1733126666668</v>
      </c>
      <c r="N134" s="224">
        <f>retail!O74</f>
        <v>-4834.1733126666668</v>
      </c>
      <c r="P134" s="346" t="s">
        <v>421</v>
      </c>
      <c r="Q134" s="388">
        <f>loantovalue</f>
        <v>0.65</v>
      </c>
    </row>
    <row r="135" spans="2:18">
      <c r="B135" s="134" t="s">
        <v>18</v>
      </c>
      <c r="C135" s="134"/>
      <c r="D135" s="224">
        <f>hotel!E77</f>
        <v>0</v>
      </c>
      <c r="E135" s="224">
        <f>hotel!F77</f>
        <v>0</v>
      </c>
      <c r="F135" s="224">
        <f>hotel!G77</f>
        <v>0</v>
      </c>
      <c r="G135" s="224">
        <f>hotel!H77</f>
        <v>0</v>
      </c>
      <c r="H135" s="224">
        <f>hotel!I77</f>
        <v>0</v>
      </c>
      <c r="I135" s="224">
        <f>hotel!J77</f>
        <v>0</v>
      </c>
      <c r="J135" s="224">
        <f>hotel!K77</f>
        <v>0</v>
      </c>
      <c r="K135" s="224">
        <f>hotel!L77</f>
        <v>0</v>
      </c>
      <c r="L135" s="224">
        <f>hotel!M77</f>
        <v>0</v>
      </c>
      <c r="M135" s="224">
        <f>hotel!N77</f>
        <v>0</v>
      </c>
      <c r="N135" s="224">
        <f>hotel!O77</f>
        <v>0</v>
      </c>
      <c r="P135" s="346" t="s">
        <v>413</v>
      </c>
      <c r="Q135" s="227">
        <f>Q133*Q134</f>
        <v>201011558.88853931</v>
      </c>
    </row>
    <row r="136" spans="2:18">
      <c r="B136" s="134" t="s">
        <v>19</v>
      </c>
      <c r="C136" s="134"/>
      <c r="D136" s="224">
        <f>parking!E74</f>
        <v>0</v>
      </c>
      <c r="E136" s="224">
        <f>parking!F74</f>
        <v>0</v>
      </c>
      <c r="F136" s="224">
        <f>parking!G74</f>
        <v>0</v>
      </c>
      <c r="G136" s="224">
        <f>parking!H74</f>
        <v>0</v>
      </c>
      <c r="H136" s="224">
        <f>parking!I74</f>
        <v>0</v>
      </c>
      <c r="I136" s="224">
        <f>parking!J74</f>
        <v>0</v>
      </c>
      <c r="J136" s="224">
        <f>parking!K74</f>
        <v>0</v>
      </c>
      <c r="K136" s="224">
        <f>parking!L74</f>
        <v>-1697.25</v>
      </c>
      <c r="L136" s="224">
        <f>parking!M74</f>
        <v>-1697.25</v>
      </c>
      <c r="M136" s="224">
        <f>parking!N74</f>
        <v>-1697.25</v>
      </c>
      <c r="N136" s="224">
        <f>parking!O74</f>
        <v>-1697.25</v>
      </c>
      <c r="P136" s="346" t="s">
        <v>415</v>
      </c>
      <c r="Q136" s="392" t="s">
        <v>429</v>
      </c>
    </row>
    <row r="137" spans="2:18">
      <c r="B137" s="134" t="s">
        <v>304</v>
      </c>
      <c r="C137" s="134"/>
      <c r="D137" s="225">
        <f>'public bldgs'!E60</f>
        <v>0</v>
      </c>
      <c r="E137" s="225">
        <f>'public bldgs'!F60</f>
        <v>0</v>
      </c>
      <c r="F137" s="225">
        <f>'public bldgs'!G60</f>
        <v>0</v>
      </c>
      <c r="G137" s="225">
        <f>'public bldgs'!H60</f>
        <v>0</v>
      </c>
      <c r="H137" s="225">
        <f>'public bldgs'!I60</f>
        <v>0</v>
      </c>
      <c r="I137" s="225">
        <f>'public bldgs'!J60</f>
        <v>0</v>
      </c>
      <c r="J137" s="225">
        <f>'public bldgs'!K60</f>
        <v>0</v>
      </c>
      <c r="K137" s="225">
        <f>'public bldgs'!L60</f>
        <v>0</v>
      </c>
      <c r="L137" s="225">
        <f>'public bldgs'!M60</f>
        <v>0</v>
      </c>
      <c r="M137" s="225">
        <f>'public bldgs'!N60</f>
        <v>0</v>
      </c>
      <c r="N137" s="225">
        <f>'public bldgs'!O60</f>
        <v>0</v>
      </c>
      <c r="P137" s="346" t="s">
        <v>416</v>
      </c>
      <c r="Q137" s="223">
        <f>permanentinterestrate</f>
        <v>6.5000000000000002E-2</v>
      </c>
    </row>
    <row r="138" spans="2:18">
      <c r="B138" s="282" t="s">
        <v>329</v>
      </c>
      <c r="C138" s="134"/>
      <c r="D138" s="224">
        <f>SUM(D130:D137)</f>
        <v>0</v>
      </c>
      <c r="E138" s="224">
        <f t="shared" ref="E138" si="88">SUM(E130:E137)</f>
        <v>0</v>
      </c>
      <c r="F138" s="224">
        <f t="shared" ref="F138" si="89">SUM(F130:F137)</f>
        <v>0</v>
      </c>
      <c r="G138" s="224">
        <f t="shared" ref="G138" si="90">SUM(G130:G137)</f>
        <v>0</v>
      </c>
      <c r="H138" s="224">
        <f t="shared" ref="H138" si="91">SUM(H130:H137)</f>
        <v>0</v>
      </c>
      <c r="I138" s="224">
        <f t="shared" ref="I138" si="92">SUM(I130:I137)</f>
        <v>0</v>
      </c>
      <c r="J138" s="224">
        <f t="shared" ref="J138" si="93">SUM(J130:J137)</f>
        <v>0</v>
      </c>
      <c r="K138" s="224">
        <f t="shared" ref="K138" si="94">SUM(K130:K137)</f>
        <v>-61649.139570587395</v>
      </c>
      <c r="L138" s="224">
        <f t="shared" ref="L138" si="95">SUM(L130:L137)</f>
        <v>-74385.274030002285</v>
      </c>
      <c r="M138" s="224">
        <f t="shared" ref="M138" si="96">SUM(M130:M137)</f>
        <v>-83954.415598502295</v>
      </c>
      <c r="N138" s="224">
        <f t="shared" ref="N138" si="97">SUM(N130:N137)</f>
        <v>-83954.415598502295</v>
      </c>
      <c r="P138" s="346" t="s">
        <v>422</v>
      </c>
      <c r="Q138" s="386">
        <f>amortizationschedule</f>
        <v>30</v>
      </c>
    </row>
    <row r="139" spans="2:18">
      <c r="B139" s="134"/>
      <c r="C139" s="13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P139" s="346" t="s">
        <v>451</v>
      </c>
      <c r="Q139" s="224">
        <f>'p3'!E122*12</f>
        <v>15246357.447110225</v>
      </c>
      <c r="R139" s="223">
        <f>permanentservicingfees</f>
        <v>7.4999999999999997E-2</v>
      </c>
    </row>
    <row r="140" spans="2:18">
      <c r="B140" s="118" t="s">
        <v>197</v>
      </c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P140" s="346" t="s">
        <v>417</v>
      </c>
      <c r="Q140" s="227">
        <f>Q135*R139</f>
        <v>15075866.916640447</v>
      </c>
    </row>
    <row r="141" spans="2:18">
      <c r="B141" s="134" t="s">
        <v>165</v>
      </c>
      <c r="C141" s="134"/>
      <c r="D141" s="224">
        <f>'res, market-rate'!E74</f>
        <v>0</v>
      </c>
      <c r="E141" s="224">
        <f>'res, market-rate'!F74</f>
        <v>0</v>
      </c>
      <c r="F141" s="224">
        <f>'res, market-rate'!G74</f>
        <v>0</v>
      </c>
      <c r="G141" s="224">
        <f>'res, market-rate'!H74</f>
        <v>0</v>
      </c>
      <c r="H141" s="224">
        <f>'res, market-rate'!I74</f>
        <v>0</v>
      </c>
      <c r="I141" s="224">
        <f>'res, market-rate'!J74</f>
        <v>-18025138.628444053</v>
      </c>
      <c r="J141" s="224">
        <f>'res, market-rate'!K74</f>
        <v>-18385641.401012935</v>
      </c>
      <c r="K141" s="224">
        <f>'res, market-rate'!L74</f>
        <v>0</v>
      </c>
      <c r="L141" s="224">
        <f>'res, market-rate'!M74</f>
        <v>0</v>
      </c>
      <c r="M141" s="224">
        <f>'res, market-rate'!N74</f>
        <v>0</v>
      </c>
      <c r="N141" s="224">
        <f>'res, market-rate'!O74</f>
        <v>54624473.418328308</v>
      </c>
      <c r="P141" s="346" t="s">
        <v>423</v>
      </c>
      <c r="Q141" s="227">
        <f>SUM(D120:N120)</f>
        <v>0</v>
      </c>
    </row>
    <row r="142" spans="2:18">
      <c r="B142" s="134" t="s">
        <v>157</v>
      </c>
      <c r="C142" s="134"/>
      <c r="D142" s="224">
        <f>'res, condo'!E81</f>
        <v>0</v>
      </c>
      <c r="E142" s="224">
        <f>'res, condo'!F81</f>
        <v>0</v>
      </c>
      <c r="F142" s="224">
        <f>'res, condo'!G81</f>
        <v>0</v>
      </c>
      <c r="G142" s="224">
        <f>'res, condo'!H81</f>
        <v>0</v>
      </c>
      <c r="H142" s="224">
        <f>'res, condo'!I81</f>
        <v>0</v>
      </c>
      <c r="I142" s="224">
        <f>'res, condo'!J81</f>
        <v>0</v>
      </c>
      <c r="J142" s="224">
        <f>'res, condo'!K81</f>
        <v>0</v>
      </c>
      <c r="K142" s="224">
        <f>'res, condo'!L81</f>
        <v>0</v>
      </c>
      <c r="L142" s="224">
        <f>'res, condo'!M81</f>
        <v>0</v>
      </c>
      <c r="M142" s="224">
        <f>'res, condo'!N81</f>
        <v>0</v>
      </c>
      <c r="N142" s="224">
        <f>'res, condo'!O81</f>
        <v>0</v>
      </c>
    </row>
    <row r="143" spans="2:18">
      <c r="B143" s="134" t="s">
        <v>141</v>
      </c>
      <c r="C143" s="134"/>
      <c r="D143" s="224">
        <f>'res, affordable'!E72</f>
        <v>0</v>
      </c>
      <c r="E143" s="224">
        <f>'res, affordable'!F72</f>
        <v>0</v>
      </c>
      <c r="F143" s="224">
        <f>'res, affordable'!G72</f>
        <v>0</v>
      </c>
      <c r="G143" s="224">
        <f>'res, affordable'!H72</f>
        <v>0</v>
      </c>
      <c r="H143" s="224">
        <f>'res, affordable'!I72</f>
        <v>0</v>
      </c>
      <c r="I143" s="224">
        <f>'res, affordable'!J72</f>
        <v>-6878087.4113249732</v>
      </c>
      <c r="J143" s="224">
        <f>'res, affordable'!K72</f>
        <v>-7015649.1595514724</v>
      </c>
      <c r="K143" s="224">
        <f>'res, affordable'!L72</f>
        <v>0</v>
      </c>
      <c r="L143" s="224">
        <f>'res, affordable'!M72</f>
        <v>0</v>
      </c>
      <c r="M143" s="224">
        <f>'res, affordable'!N72</f>
        <v>0</v>
      </c>
      <c r="N143" s="224">
        <f>'res, affordable'!O72</f>
        <v>15651523.352358762</v>
      </c>
    </row>
    <row r="144" spans="2:18">
      <c r="B144" s="134" t="s">
        <v>2</v>
      </c>
      <c r="C144" s="134"/>
      <c r="D144" s="224">
        <f>office!E79</f>
        <v>0</v>
      </c>
      <c r="E144" s="224">
        <f>office!F79</f>
        <v>0</v>
      </c>
      <c r="F144" s="224">
        <f>office!G79</f>
        <v>0</v>
      </c>
      <c r="G144" s="224">
        <f>office!H79</f>
        <v>0</v>
      </c>
      <c r="H144" s="224">
        <f>office!I79</f>
        <v>0</v>
      </c>
      <c r="I144" s="224">
        <f>office!J79</f>
        <v>-56755454.33405672</v>
      </c>
      <c r="J144" s="224">
        <f>office!K79</f>
        <v>-57890563.420737848</v>
      </c>
      <c r="K144" s="224">
        <f>office!L79</f>
        <v>0</v>
      </c>
      <c r="L144" s="224">
        <f>office!M79</f>
        <v>0</v>
      </c>
      <c r="M144" s="224">
        <f>office!N79</f>
        <v>0</v>
      </c>
      <c r="N144" s="224">
        <f>office!O79</f>
        <v>236119970.69351918</v>
      </c>
    </row>
    <row r="145" spans="2:15">
      <c r="B145" s="242" t="s">
        <v>142</v>
      </c>
      <c r="C145" s="242"/>
      <c r="D145" s="224">
        <f>retail!E78</f>
        <v>0</v>
      </c>
      <c r="E145" s="224">
        <f>retail!F78</f>
        <v>0</v>
      </c>
      <c r="F145" s="224">
        <f>retail!G78</f>
        <v>0</v>
      </c>
      <c r="G145" s="224">
        <f>retail!H78</f>
        <v>0</v>
      </c>
      <c r="H145" s="224">
        <f>retail!I78</f>
        <v>0</v>
      </c>
      <c r="I145" s="224">
        <f>retail!J78</f>
        <v>-5185348.0121170338</v>
      </c>
      <c r="J145" s="224">
        <f>retail!K78</f>
        <v>-5289054.9723593751</v>
      </c>
      <c r="K145" s="224">
        <f>retail!L78</f>
        <v>0</v>
      </c>
      <c r="L145" s="224">
        <f>retail!M78</f>
        <v>0</v>
      </c>
      <c r="M145" s="224">
        <f>retail!N78</f>
        <v>0</v>
      </c>
      <c r="N145" s="224">
        <f>retail!O78</f>
        <v>17463554.820949942</v>
      </c>
      <c r="O145" s="224"/>
    </row>
    <row r="146" spans="2:15">
      <c r="B146" s="134" t="s">
        <v>18</v>
      </c>
      <c r="C146" s="134"/>
      <c r="D146" s="224">
        <f>hotel!E81</f>
        <v>0</v>
      </c>
      <c r="E146" s="224">
        <f>hotel!F81</f>
        <v>0</v>
      </c>
      <c r="F146" s="224">
        <f>hotel!G81</f>
        <v>0</v>
      </c>
      <c r="G146" s="224">
        <f>hotel!H81</f>
        <v>0</v>
      </c>
      <c r="H146" s="224">
        <f>hotel!I81</f>
        <v>0</v>
      </c>
      <c r="I146" s="224">
        <f>hotel!J81</f>
        <v>0</v>
      </c>
      <c r="J146" s="224">
        <f>hotel!K81</f>
        <v>0</v>
      </c>
      <c r="K146" s="224">
        <f>hotel!L81</f>
        <v>0</v>
      </c>
      <c r="L146" s="224">
        <f>hotel!M81</f>
        <v>0</v>
      </c>
      <c r="M146" s="224">
        <f>hotel!N81</f>
        <v>0</v>
      </c>
      <c r="N146" s="224">
        <f>hotel!O81</f>
        <v>0</v>
      </c>
    </row>
    <row r="147" spans="2:15">
      <c r="B147" s="134" t="s">
        <v>19</v>
      </c>
      <c r="C147" s="134"/>
      <c r="D147" s="226">
        <f>parking!E78</f>
        <v>0</v>
      </c>
      <c r="E147" s="226">
        <f>parking!F78</f>
        <v>0</v>
      </c>
      <c r="F147" s="226">
        <f>parking!G78</f>
        <v>0</v>
      </c>
      <c r="G147" s="226">
        <f>parking!H78</f>
        <v>0</v>
      </c>
      <c r="H147" s="226">
        <f>parking!I78</f>
        <v>0</v>
      </c>
      <c r="I147" s="226">
        <f>parking!J78</f>
        <v>-3521219.4684899999</v>
      </c>
      <c r="J147" s="226">
        <f>parking!K78</f>
        <v>-3591643.8578597996</v>
      </c>
      <c r="K147" s="226">
        <f>parking!L78</f>
        <v>0</v>
      </c>
      <c r="L147" s="226">
        <f>parking!M78</f>
        <v>0</v>
      </c>
      <c r="M147" s="226">
        <f>parking!N78</f>
        <v>0</v>
      </c>
      <c r="N147" s="226">
        <f>parking!O78</f>
        <v>3652345.4254127108</v>
      </c>
    </row>
    <row r="148" spans="2:15">
      <c r="B148" s="134" t="s">
        <v>286</v>
      </c>
      <c r="C148" s="134"/>
      <c r="D148" s="225">
        <f>'public bldgs'!E63</f>
        <v>0</v>
      </c>
      <c r="E148" s="225">
        <f>'public bldgs'!F63</f>
        <v>0</v>
      </c>
      <c r="F148" s="225">
        <f>'public bldgs'!G63</f>
        <v>0</v>
      </c>
      <c r="G148" s="225">
        <f>'public bldgs'!H63</f>
        <v>0</v>
      </c>
      <c r="H148" s="225">
        <f>'public bldgs'!I63</f>
        <v>0</v>
      </c>
      <c r="I148" s="225">
        <f>'public bldgs'!J63</f>
        <v>0</v>
      </c>
      <c r="J148" s="225">
        <f>'public bldgs'!K63</f>
        <v>0</v>
      </c>
      <c r="K148" s="225">
        <f>'public bldgs'!L63</f>
        <v>0</v>
      </c>
      <c r="L148" s="225">
        <f>'public bldgs'!M63</f>
        <v>0</v>
      </c>
      <c r="M148" s="225">
        <f>'public bldgs'!N63</f>
        <v>0</v>
      </c>
      <c r="N148" s="225">
        <f>'public bldgs'!O63</f>
        <v>0</v>
      </c>
    </row>
    <row r="149" spans="2:15">
      <c r="B149" s="282" t="s">
        <v>330</v>
      </c>
      <c r="C149" s="134"/>
      <c r="D149" s="224">
        <f>SUM(D141:D148)</f>
        <v>0</v>
      </c>
      <c r="E149" s="224">
        <f t="shared" ref="E149" si="98">SUM(E141:E148)</f>
        <v>0</v>
      </c>
      <c r="F149" s="224">
        <f t="shared" ref="F149" si="99">SUM(F141:F148)</f>
        <v>0</v>
      </c>
      <c r="G149" s="224">
        <f t="shared" ref="G149" si="100">SUM(G141:G148)</f>
        <v>0</v>
      </c>
      <c r="H149" s="224">
        <f t="shared" ref="H149" si="101">SUM(H141:H148)</f>
        <v>0</v>
      </c>
      <c r="I149" s="224">
        <f t="shared" ref="I149" si="102">SUM(I141:I148)</f>
        <v>-90365247.854432777</v>
      </c>
      <c r="J149" s="224">
        <f t="shared" ref="J149" si="103">SUM(J141:J148)</f>
        <v>-92172552.811521441</v>
      </c>
      <c r="K149" s="224">
        <f t="shared" ref="K149" si="104">SUM(K141:K148)</f>
        <v>0</v>
      </c>
      <c r="L149" s="224">
        <f t="shared" ref="L149" si="105">SUM(L141:L148)</f>
        <v>0</v>
      </c>
      <c r="M149" s="224">
        <f t="shared" ref="M149" si="106">SUM(M141:M148)</f>
        <v>0</v>
      </c>
      <c r="N149" s="224">
        <f t="shared" ref="N149" si="107">SUM(N141:N148)</f>
        <v>327511867.71056885</v>
      </c>
    </row>
    <row r="150" spans="2:15">
      <c r="B150" s="134"/>
      <c r="C150" s="13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</row>
    <row r="151" spans="2:15">
      <c r="B151" s="118" t="s">
        <v>303</v>
      </c>
      <c r="D151" s="224">
        <f>-IF(OR(D$2=Phase3begin,D$2=Phase3end,AND(D$2&gt;Phase3begin,D$2&lt;Phase3end)),infstrc!$M$24/Constructiontime,0)</f>
        <v>0</v>
      </c>
      <c r="E151" s="224">
        <f>-IF(OR(E$2=Phase3begin,E$2=Phase3end,AND(E$2&gt;Phase3begin,E$2&lt;Phase3end)),infstrc!$M$24/Constructiontime,0)</f>
        <v>0</v>
      </c>
      <c r="F151" s="224">
        <f>-IF(OR(F$2=Phase3begin,F$2=Phase3end,AND(F$2&gt;Phase3begin,F$2&lt;Phase3end)),infstrc!$M$24/Constructiontime,0)</f>
        <v>0</v>
      </c>
      <c r="G151" s="224">
        <f>-IF(OR(G$2=Phase3begin,G$2=Phase3end,AND(G$2&gt;Phase3begin,G$2&lt;Phase3end)),infstrc!$M$24/Constructiontime,0)</f>
        <v>0</v>
      </c>
      <c r="H151" s="224">
        <f>-IF(OR(H$2=Phase3begin,H$2=Phase3end,AND(H$2&gt;Phase3begin,H$2&lt;Phase3end)),infstrc!$M$24/Constructiontime,0)</f>
        <v>0</v>
      </c>
      <c r="I151" s="224">
        <f>-IF(OR(I$2=Phase3begin,I$2=Phase3end,AND(I$2&gt;Phase3begin,I$2&lt;Phase3end)),infstrc!$M$24/Constructiontime,0)</f>
        <v>-339654.8</v>
      </c>
      <c r="J151" s="224">
        <f>-IF(OR(J$2=Phase3begin,J$2=Phase3end,AND(J$2&gt;Phase3begin,J$2&lt;Phase3end)),infstrc!$M$24/Constructiontime,0)</f>
        <v>-339654.8</v>
      </c>
      <c r="K151" s="224">
        <f>-IF(OR(K$2=Phase3begin,K$2=Phase3end,AND(K$2&gt;Phase3begin,K$2&lt;Phase3end)),infstrc!$M$24/Constructiontime,0)</f>
        <v>0</v>
      </c>
      <c r="L151" s="224">
        <f>-IF(OR(L$2=Phase3begin,L$2=Phase3end,AND(L$2&gt;Phase3begin,L$2&lt;Phase3end)),infstrc!$M$24/Constructiontime,0)</f>
        <v>0</v>
      </c>
      <c r="M151" s="224">
        <f>-IF(OR(M$2=Phase3begin,M$2=Phase3end,AND(M$2&gt;Phase3begin,M$2&lt;Phase3end)),infstrc!$M$24/Constructiontime,0)</f>
        <v>0</v>
      </c>
      <c r="N151" s="224">
        <f>-IF(OR(N$2=Phase3begin,N$2=Phase3end,AND(N$2&gt;Phase3begin,N$2&lt;Phase3end)),infstrc!$M$24/Constructiontime,0)</f>
        <v>0</v>
      </c>
    </row>
    <row r="152" spans="2:15">
      <c r="B152" s="118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</row>
    <row r="153" spans="2:15">
      <c r="B153" s="118" t="s">
        <v>170</v>
      </c>
      <c r="C153" s="228">
        <f>IRR(D153:N153)</f>
        <v>0.20832473043688315</v>
      </c>
      <c r="D153" s="227">
        <f>SUM(D127,D138,D149,D151)</f>
        <v>0</v>
      </c>
      <c r="E153" s="227">
        <f t="shared" ref="E153" si="108">SUM(E127,E138,E149,E151)</f>
        <v>0</v>
      </c>
      <c r="F153" s="227">
        <f t="shared" ref="F153" si="109">SUM(F127,F138,F149,F151)</f>
        <v>0</v>
      </c>
      <c r="G153" s="227">
        <f t="shared" ref="G153" si="110">SUM(G127,G138,G149,G151)</f>
        <v>0</v>
      </c>
      <c r="H153" s="227">
        <f t="shared" ref="H153" si="111">SUM(H127,H138,H149,H151)</f>
        <v>0</v>
      </c>
      <c r="I153" s="227">
        <f t="shared" ref="I153" si="112">SUM(I127,I138,I149,I151)</f>
        <v>-90704902.654432774</v>
      </c>
      <c r="J153" s="227">
        <f t="shared" ref="J153" si="113">SUM(J127,J138,J149,J151)</f>
        <v>-92512207.611521438</v>
      </c>
      <c r="K153" s="227">
        <f t="shared" ref="K153" si="114">SUM(K127,K138,K149,K151)</f>
        <v>9211703.2730927058</v>
      </c>
      <c r="L153" s="227">
        <f t="shared" ref="L153" si="115">SUM(L127,L138,L149,L151)</f>
        <v>19318861.925056148</v>
      </c>
      <c r="M153" s="227">
        <f t="shared" ref="M153" si="116">SUM(M127,M138,M149,M151)</f>
        <v>26424222.419592433</v>
      </c>
      <c r="N153" s="227">
        <f t="shared" ref="N153" si="117">SUM(N127,N138,N149,N151)</f>
        <v>354466253.66686511</v>
      </c>
    </row>
    <row r="154" spans="2:15">
      <c r="B154" s="118"/>
    </row>
    <row r="155" spans="2:15">
      <c r="B155" s="118" t="s">
        <v>455</v>
      </c>
    </row>
    <row r="157" spans="2:15">
      <c r="B157" s="120" t="s">
        <v>431</v>
      </c>
      <c r="D157" s="227">
        <f>IF(D153&lt;0,D149+D151,0)</f>
        <v>0</v>
      </c>
      <c r="E157" s="227">
        <f t="shared" ref="E157:N157" si="118">IF(E153&lt;0,E149+E151,0)</f>
        <v>0</v>
      </c>
      <c r="F157" s="227">
        <f t="shared" si="118"/>
        <v>0</v>
      </c>
      <c r="G157" s="227">
        <f t="shared" si="118"/>
        <v>0</v>
      </c>
      <c r="H157" s="227">
        <f t="shared" si="118"/>
        <v>0</v>
      </c>
      <c r="I157" s="227">
        <f t="shared" si="118"/>
        <v>-90704902.654432774</v>
      </c>
      <c r="J157" s="227">
        <f t="shared" si="118"/>
        <v>-92512207.611521438</v>
      </c>
      <c r="K157" s="227">
        <f t="shared" si="118"/>
        <v>0</v>
      </c>
      <c r="L157" s="227">
        <f t="shared" si="118"/>
        <v>0</v>
      </c>
      <c r="M157" s="227">
        <f t="shared" si="118"/>
        <v>0</v>
      </c>
      <c r="N157" s="227">
        <f t="shared" si="118"/>
        <v>0</v>
      </c>
    </row>
    <row r="158" spans="2:15"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  <c r="N158" s="227"/>
    </row>
    <row r="159" spans="2:15">
      <c r="B159" s="136" t="s">
        <v>172</v>
      </c>
      <c r="C159" s="135"/>
    </row>
    <row r="160" spans="2:15">
      <c r="B160" s="135" t="s">
        <v>414</v>
      </c>
      <c r="D160" s="224">
        <f t="shared" ref="D160:N160" si="119">-IF(D$2=Phase3begin,$Q126,0)</f>
        <v>0</v>
      </c>
      <c r="E160" s="224">
        <f t="shared" si="119"/>
        <v>0</v>
      </c>
      <c r="F160" s="224">
        <f t="shared" si="119"/>
        <v>0</v>
      </c>
      <c r="G160" s="224">
        <f t="shared" si="119"/>
        <v>0</v>
      </c>
      <c r="H160" s="224">
        <f t="shared" si="119"/>
        <v>0</v>
      </c>
      <c r="I160" s="224">
        <f t="shared" si="119"/>
        <v>-90005405.418150023</v>
      </c>
      <c r="J160" s="224">
        <f t="shared" si="119"/>
        <v>0</v>
      </c>
      <c r="K160" s="224">
        <f t="shared" si="119"/>
        <v>0</v>
      </c>
      <c r="L160" s="224">
        <f t="shared" si="119"/>
        <v>0</v>
      </c>
      <c r="M160" s="224">
        <f t="shared" si="119"/>
        <v>0</v>
      </c>
      <c r="N160" s="224">
        <f t="shared" si="119"/>
        <v>0</v>
      </c>
    </row>
    <row r="161" spans="2:14">
      <c r="B161" s="135" t="s">
        <v>430</v>
      </c>
      <c r="D161" s="224">
        <f>-(D157-D160)</f>
        <v>0</v>
      </c>
      <c r="E161" s="224">
        <f t="shared" ref="E161:N161" si="120">-(E157-E160)</f>
        <v>0</v>
      </c>
      <c r="F161" s="224">
        <f t="shared" si="120"/>
        <v>0</v>
      </c>
      <c r="G161" s="224">
        <f t="shared" si="120"/>
        <v>0</v>
      </c>
      <c r="H161" s="224">
        <f t="shared" si="120"/>
        <v>0</v>
      </c>
      <c r="I161" s="224">
        <f t="shared" si="120"/>
        <v>699497.23628275096</v>
      </c>
      <c r="J161" s="224">
        <f t="shared" si="120"/>
        <v>92512207.611521438</v>
      </c>
      <c r="K161" s="224">
        <f t="shared" si="120"/>
        <v>0</v>
      </c>
      <c r="L161" s="224">
        <f t="shared" si="120"/>
        <v>0</v>
      </c>
      <c r="M161" s="224">
        <f t="shared" si="120"/>
        <v>0</v>
      </c>
      <c r="N161" s="224">
        <f t="shared" si="120"/>
        <v>0</v>
      </c>
    </row>
    <row r="162" spans="2:14">
      <c r="B162" s="135" t="s">
        <v>425</v>
      </c>
      <c r="C162" s="135"/>
      <c r="D162" s="224">
        <f t="shared" ref="D162:N162" si="121">-IF(OR(D$2=Phase3begin,D$2=Phase3end,AND(D$2&gt;Phase3begin,D$2&lt;Phase3end)),D161*$Q124,0)</f>
        <v>0</v>
      </c>
      <c r="E162" s="224">
        <f t="shared" si="121"/>
        <v>0</v>
      </c>
      <c r="F162" s="224">
        <f t="shared" si="121"/>
        <v>0</v>
      </c>
      <c r="G162" s="224">
        <f t="shared" si="121"/>
        <v>0</v>
      </c>
      <c r="H162" s="224">
        <f t="shared" si="121"/>
        <v>0</v>
      </c>
      <c r="I162" s="224">
        <f t="shared" si="121"/>
        <v>-83939.668353930116</v>
      </c>
      <c r="J162" s="224">
        <f t="shared" si="121"/>
        <v>-11101464.913382571</v>
      </c>
      <c r="K162" s="224">
        <f t="shared" si="121"/>
        <v>0</v>
      </c>
      <c r="L162" s="224">
        <f t="shared" si="121"/>
        <v>0</v>
      </c>
      <c r="M162" s="224">
        <f t="shared" si="121"/>
        <v>0</v>
      </c>
      <c r="N162" s="224">
        <f t="shared" si="121"/>
        <v>0</v>
      </c>
    </row>
    <row r="163" spans="2:14">
      <c r="B163" s="135" t="s">
        <v>426</v>
      </c>
      <c r="C163" s="135"/>
      <c r="D163" s="224">
        <f>-IF(D$2=Phase3end+1,SUM($D161:D161),0)</f>
        <v>0</v>
      </c>
      <c r="E163" s="224">
        <f>-IF(E$2=Phase3end+1,SUM($D161:E161),0)</f>
        <v>0</v>
      </c>
      <c r="F163" s="224">
        <f>-IF(F$2=Phase3end+1,SUM($D161:F161),0)</f>
        <v>0</v>
      </c>
      <c r="G163" s="224">
        <f>-IF(G$2=Phase3end+1,SUM($D161:G161),0)</f>
        <v>0</v>
      </c>
      <c r="H163" s="224">
        <f>-IF(H$2=Phase3end+1,SUM($D161:H161),0)</f>
        <v>0</v>
      </c>
      <c r="I163" s="224">
        <f>-IF(I$2=Phase3end+1,SUM($D161:I161),0)</f>
        <v>0</v>
      </c>
      <c r="J163" s="224">
        <f>-IF(J$2=Phase3end+1,SUM($D161:J161),0)</f>
        <v>0</v>
      </c>
      <c r="K163" s="224">
        <f>-IF(K$2=Phase3end+1,SUM($D161:K161),0)</f>
        <v>-93211704.847804189</v>
      </c>
      <c r="L163" s="224">
        <f>-IF(L$2=Phase3end+1,SUM($D161:L161),0)</f>
        <v>0</v>
      </c>
      <c r="M163" s="224">
        <f>-IF(M$2=Phase3end+1,SUM($D161:M161),0)</f>
        <v>0</v>
      </c>
      <c r="N163" s="224">
        <f>-IF(N$2=Phase3end+1,SUM($D161:N161),0)</f>
        <v>0</v>
      </c>
    </row>
    <row r="165" spans="2:14">
      <c r="B165" s="136" t="s">
        <v>173</v>
      </c>
      <c r="C165" s="135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</row>
    <row r="166" spans="2:14">
      <c r="B166" s="135" t="s">
        <v>452</v>
      </c>
      <c r="C166" s="135"/>
      <c r="D166" s="224">
        <f t="shared" ref="D166:N166" si="122">-IF(D$2=Phase3open,$Q140,0)</f>
        <v>0</v>
      </c>
      <c r="E166" s="224">
        <f t="shared" si="122"/>
        <v>0</v>
      </c>
      <c r="F166" s="224">
        <f t="shared" si="122"/>
        <v>0</v>
      </c>
      <c r="G166" s="224">
        <f t="shared" si="122"/>
        <v>0</v>
      </c>
      <c r="H166" s="224">
        <f t="shared" si="122"/>
        <v>0</v>
      </c>
      <c r="I166" s="224">
        <f t="shared" si="122"/>
        <v>0</v>
      </c>
      <c r="J166" s="224">
        <f t="shared" si="122"/>
        <v>0</v>
      </c>
      <c r="K166" s="224">
        <f t="shared" si="122"/>
        <v>-15075866.916640447</v>
      </c>
      <c r="L166" s="224">
        <f t="shared" si="122"/>
        <v>0</v>
      </c>
      <c r="M166" s="224">
        <f t="shared" si="122"/>
        <v>0</v>
      </c>
      <c r="N166" s="224">
        <f t="shared" si="122"/>
        <v>0</v>
      </c>
    </row>
    <row r="167" spans="2:14">
      <c r="B167" s="135" t="s">
        <v>430</v>
      </c>
      <c r="C167" s="135"/>
      <c r="D167" s="224">
        <f t="shared" ref="D167:N167" si="123">IF(D$2=Phase3open,$Q135,0)</f>
        <v>0</v>
      </c>
      <c r="E167" s="224">
        <f t="shared" si="123"/>
        <v>0</v>
      </c>
      <c r="F167" s="224">
        <f t="shared" si="123"/>
        <v>0</v>
      </c>
      <c r="G167" s="224">
        <f t="shared" si="123"/>
        <v>0</v>
      </c>
      <c r="H167" s="224">
        <f t="shared" si="123"/>
        <v>0</v>
      </c>
      <c r="I167" s="224">
        <f t="shared" si="123"/>
        <v>0</v>
      </c>
      <c r="J167" s="224">
        <f t="shared" si="123"/>
        <v>0</v>
      </c>
      <c r="K167" s="224">
        <f t="shared" si="123"/>
        <v>201011558.88853931</v>
      </c>
      <c r="L167" s="224">
        <f t="shared" si="123"/>
        <v>0</v>
      </c>
      <c r="M167" s="224">
        <f t="shared" si="123"/>
        <v>0</v>
      </c>
      <c r="N167" s="224">
        <f t="shared" si="123"/>
        <v>0</v>
      </c>
    </row>
    <row r="168" spans="2:14">
      <c r="B168" s="135" t="s">
        <v>450</v>
      </c>
      <c r="C168" s="135"/>
      <c r="D168" s="224">
        <f t="shared" ref="D168:N168" si="124">-IF(D$2&gt;=Phase3open,$Q139,0)</f>
        <v>0</v>
      </c>
      <c r="E168" s="224">
        <f t="shared" si="124"/>
        <v>0</v>
      </c>
      <c r="F168" s="224">
        <f t="shared" si="124"/>
        <v>0</v>
      </c>
      <c r="G168" s="224">
        <f t="shared" si="124"/>
        <v>0</v>
      </c>
      <c r="H168" s="224">
        <f t="shared" si="124"/>
        <v>0</v>
      </c>
      <c r="I168" s="224">
        <f t="shared" si="124"/>
        <v>0</v>
      </c>
      <c r="J168" s="224">
        <f t="shared" si="124"/>
        <v>0</v>
      </c>
      <c r="K168" s="224">
        <f t="shared" si="124"/>
        <v>-15246357.447110225</v>
      </c>
      <c r="L168" s="224">
        <f t="shared" si="124"/>
        <v>-15246357.447110225</v>
      </c>
      <c r="M168" s="224">
        <f t="shared" si="124"/>
        <v>-15246357.447110225</v>
      </c>
      <c r="N168" s="224">
        <f t="shared" si="124"/>
        <v>-15246357.447110225</v>
      </c>
    </row>
    <row r="169" spans="2:14">
      <c r="B169" s="135" t="s">
        <v>426</v>
      </c>
      <c r="C169" s="135"/>
      <c r="D169" s="224">
        <f>-IF(D$2=dispositionyear,'p3'!$E$16,0)</f>
        <v>0</v>
      </c>
      <c r="E169" s="224">
        <f>-IF(E$2=dispositionyear,'p3'!$E$16,0)</f>
        <v>0</v>
      </c>
      <c r="F169" s="224">
        <f>-IF(F$2=dispositionyear,'p3'!$E$16,0)</f>
        <v>0</v>
      </c>
      <c r="G169" s="224">
        <f>-IF(G$2=dispositionyear,'p3'!$E$16,0)</f>
        <v>0</v>
      </c>
      <c r="H169" s="224">
        <f>-IF(H$2=dispositionyear,'p3'!$E$16,0)</f>
        <v>0</v>
      </c>
      <c r="I169" s="224">
        <f>-IF(I$2=dispositionyear,'p3'!$E$16,0)</f>
        <v>0</v>
      </c>
      <c r="J169" s="224">
        <f>-IF(J$2=dispositionyear,'p3'!$E$16,0)</f>
        <v>0</v>
      </c>
      <c r="K169" s="224">
        <f>-IF(K$2=dispositionyear,'p3'!$E$16,0)</f>
        <v>0</v>
      </c>
      <c r="L169" s="224">
        <f>-IF(L$2=dispositionyear,'p3'!$E$16,0)</f>
        <v>0</v>
      </c>
      <c r="M169" s="224">
        <f>-IF(M$2=dispositionyear,'p3'!$E$16,0)</f>
        <v>0</v>
      </c>
      <c r="N169" s="224">
        <f>-IF(N$2=dispositionyear,'p3'!$E$16,0)</f>
        <v>-193809800.98940188</v>
      </c>
    </row>
    <row r="170" spans="2:14">
      <c r="C170" s="229"/>
    </row>
    <row r="171" spans="2:14">
      <c r="B171" s="118" t="s">
        <v>174</v>
      </c>
      <c r="C171" s="228">
        <f>IRR(D171:N171)</f>
        <v>0.70929540518564616</v>
      </c>
      <c r="D171" s="227">
        <f t="shared" ref="D171:N171" si="125">SUM(D127,D138)+SUM(D160:D169)+IF(D$2=dispositionyear,D149)</f>
        <v>0</v>
      </c>
      <c r="E171" s="227">
        <f t="shared" si="125"/>
        <v>0</v>
      </c>
      <c r="F171" s="227">
        <f t="shared" si="125"/>
        <v>0</v>
      </c>
      <c r="G171" s="227">
        <f t="shared" si="125"/>
        <v>0</v>
      </c>
      <c r="H171" s="227">
        <f t="shared" si="125"/>
        <v>0</v>
      </c>
      <c r="I171" s="227">
        <f t="shared" si="125"/>
        <v>-89389847.850221202</v>
      </c>
      <c r="J171" s="227">
        <f t="shared" si="125"/>
        <v>81410742.698138863</v>
      </c>
      <c r="K171" s="227">
        <f t="shared" si="125"/>
        <v>86689332.950077161</v>
      </c>
      <c r="L171" s="227">
        <f t="shared" si="125"/>
        <v>4072504.4779459238</v>
      </c>
      <c r="M171" s="227">
        <f t="shared" si="125"/>
        <v>11177864.972482208</v>
      </c>
      <c r="N171" s="227">
        <f t="shared" si="125"/>
        <v>145410095.23035297</v>
      </c>
    </row>
    <row r="173" spans="2:14">
      <c r="B173" s="280" t="s">
        <v>456</v>
      </c>
      <c r="C173" s="280"/>
      <c r="D173" s="281"/>
      <c r="E173" s="281"/>
      <c r="F173" s="281"/>
      <c r="G173" s="281"/>
      <c r="H173" s="281"/>
      <c r="I173" s="281"/>
      <c r="J173" s="281"/>
      <c r="K173" s="281"/>
      <c r="L173" s="281"/>
      <c r="M173" s="281"/>
      <c r="N173" s="281"/>
    </row>
    <row r="175" spans="2:14">
      <c r="B175" s="120" t="s">
        <v>457</v>
      </c>
      <c r="C175" s="228">
        <f>IRR(D175:N175)</f>
        <v>0.14458140804577679</v>
      </c>
      <c r="D175" s="227">
        <f>SUM(D39,D97,D153)</f>
        <v>0</v>
      </c>
      <c r="E175" s="227">
        <f t="shared" ref="E175:N175" si="126">SUM(E39,E97,E153)</f>
        <v>-237162968.58450532</v>
      </c>
      <c r="F175" s="227">
        <f t="shared" si="126"/>
        <v>-222200054.8139444</v>
      </c>
      <c r="G175" s="227">
        <f t="shared" si="126"/>
        <v>-105585622.68107316</v>
      </c>
      <c r="H175" s="227">
        <f t="shared" si="126"/>
        <v>-88237856.761718959</v>
      </c>
      <c r="I175" s="227">
        <f t="shared" si="126"/>
        <v>13687340.000068039</v>
      </c>
      <c r="J175" s="227">
        <f t="shared" si="126"/>
        <v>22569913.740453914</v>
      </c>
      <c r="K175" s="227">
        <f t="shared" si="126"/>
        <v>83859631.189111948</v>
      </c>
      <c r="L175" s="227">
        <f t="shared" si="126"/>
        <v>95464296.421100006</v>
      </c>
      <c r="M175" s="227">
        <f t="shared" si="126"/>
        <v>104097113.62726143</v>
      </c>
      <c r="N175" s="227">
        <f t="shared" si="126"/>
        <v>1488643106.4869871</v>
      </c>
    </row>
    <row r="176" spans="2:14">
      <c r="B176" s="120" t="s">
        <v>458</v>
      </c>
      <c r="C176" s="228">
        <f>IRR(D176:N176)</f>
        <v>0.50186929863169527</v>
      </c>
      <c r="D176" s="227">
        <f>SUM(D57,D115,D171)</f>
        <v>0</v>
      </c>
      <c r="E176" s="227">
        <f t="shared" ref="E176:N176" si="127">SUM(E57,E115,E171)</f>
        <v>-215541307.90527359</v>
      </c>
      <c r="F176" s="227">
        <f t="shared" si="127"/>
        <v>195536048.23627108</v>
      </c>
      <c r="G176" s="227">
        <f t="shared" si="127"/>
        <v>-40596119.234911695</v>
      </c>
      <c r="H176" s="227">
        <f t="shared" si="127"/>
        <v>158784953.82227844</v>
      </c>
      <c r="I176" s="227">
        <f t="shared" si="127"/>
        <v>15450396.356155619</v>
      </c>
      <c r="J176" s="227">
        <f t="shared" si="127"/>
        <v>154498175.76908481</v>
      </c>
      <c r="K176" s="227">
        <f t="shared" si="127"/>
        <v>119342572.585067</v>
      </c>
      <c r="L176" s="227">
        <f t="shared" si="127"/>
        <v>38223250.692960374</v>
      </c>
      <c r="M176" s="227">
        <f t="shared" si="127"/>
        <v>46856067.899121791</v>
      </c>
      <c r="N176" s="227">
        <f t="shared" si="127"/>
        <v>730457756.38042939</v>
      </c>
    </row>
    <row r="177" spans="17:17">
      <c r="Q177" s="227">
        <f>SUM(Q6,Q64,Q120)</f>
        <v>930722919.82360518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08524-DFD8-4EC4-9778-9803E921F87B}">
  <sheetPr>
    <tabColor theme="9" tint="0.59999389629810485"/>
  </sheetPr>
  <dimension ref="B2:Q83"/>
  <sheetViews>
    <sheetView showGridLines="0" topLeftCell="A6" zoomScale="70" zoomScaleNormal="70" workbookViewId="0">
      <selection activeCell="G15" sqref="G15"/>
    </sheetView>
    <sheetView topLeftCell="A250" zoomScale="70" zoomScaleNormal="70" workbookViewId="1">
      <selection activeCell="G100" sqref="G100"/>
    </sheetView>
  </sheetViews>
  <sheetFormatPr defaultColWidth="8.734375" defaultRowHeight="9"/>
  <cols>
    <col min="1" max="1" width="8.734375" style="117"/>
    <col min="2" max="2" width="24.15625" style="117" bestFit="1" customWidth="1"/>
    <col min="3" max="3" width="1.15625" style="117" customWidth="1"/>
    <col min="4" max="4" width="8.734375" style="117"/>
    <col min="5" max="5" width="9" style="117" bestFit="1" customWidth="1"/>
    <col min="6" max="7" width="11.47265625" style="117" bestFit="1" customWidth="1"/>
    <col min="8" max="8" width="10.3671875" style="117" bestFit="1" customWidth="1"/>
    <col min="9" max="14" width="11.1015625" style="117" bestFit="1" customWidth="1"/>
    <col min="15" max="15" width="11.734375" style="117" bestFit="1" customWidth="1"/>
    <col min="16" max="16384" width="8.734375" style="117"/>
  </cols>
  <sheetData>
    <row r="2" spans="2:17" ht="9.3000000000000007" thickBot="1">
      <c r="B2" s="150" t="s">
        <v>176</v>
      </c>
      <c r="C2" s="150"/>
      <c r="D2" s="151"/>
      <c r="E2" s="151">
        <v>0</v>
      </c>
      <c r="F2" s="151">
        <v>1</v>
      </c>
      <c r="G2" s="151">
        <v>2</v>
      </c>
      <c r="H2" s="151">
        <v>3</v>
      </c>
      <c r="I2" s="151">
        <v>4</v>
      </c>
      <c r="J2" s="151">
        <v>5</v>
      </c>
      <c r="K2" s="151">
        <v>6</v>
      </c>
      <c r="L2" s="151">
        <v>7</v>
      </c>
      <c r="M2" s="151">
        <v>8</v>
      </c>
      <c r="N2" s="151">
        <v>9</v>
      </c>
      <c r="O2" s="151">
        <v>10</v>
      </c>
    </row>
    <row r="3" spans="2:17" ht="9.3000000000000007" thickBot="1"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7">
      <c r="B4" s="144" t="s">
        <v>199</v>
      </c>
      <c r="C4" s="145"/>
      <c r="D4" s="145"/>
      <c r="E4" s="156"/>
      <c r="F4" s="157"/>
      <c r="G4" s="157"/>
      <c r="H4" s="157"/>
      <c r="I4" s="157"/>
      <c r="J4" s="157"/>
      <c r="K4" s="146"/>
      <c r="L4" s="119"/>
      <c r="M4" s="119"/>
      <c r="N4" s="119"/>
      <c r="O4" s="119"/>
    </row>
    <row r="5" spans="2:17">
      <c r="B5" s="147" t="s">
        <v>89</v>
      </c>
      <c r="C5" s="142"/>
      <c r="D5" s="155">
        <f>Phase1</f>
        <v>1</v>
      </c>
      <c r="E5" s="140"/>
      <c r="F5" s="140"/>
      <c r="G5" s="141" t="s">
        <v>205</v>
      </c>
      <c r="H5" s="161">
        <f>Phase1begin</f>
        <v>1</v>
      </c>
      <c r="I5" s="140"/>
      <c r="J5" s="141" t="s">
        <v>202</v>
      </c>
      <c r="K5" s="158">
        <f>summary!AF12</f>
        <v>9.5434939419563838E-2</v>
      </c>
    </row>
    <row r="6" spans="2:17">
      <c r="B6" s="147" t="s">
        <v>94</v>
      </c>
      <c r="C6" s="142"/>
      <c r="D6" s="152" t="s">
        <v>165</v>
      </c>
      <c r="E6" s="140"/>
      <c r="F6" s="140"/>
      <c r="G6" s="141" t="s">
        <v>206</v>
      </c>
      <c r="H6" s="161">
        <f>Phase1end</f>
        <v>2</v>
      </c>
      <c r="I6" s="140"/>
      <c r="J6" s="140"/>
      <c r="K6" s="148"/>
    </row>
    <row r="7" spans="2:17" ht="9.3000000000000007" thickBot="1">
      <c r="B7" s="159"/>
      <c r="C7" s="160"/>
      <c r="D7" s="160"/>
      <c r="E7" s="160"/>
      <c r="F7" s="160"/>
      <c r="G7" s="150" t="s">
        <v>200</v>
      </c>
      <c r="H7" s="153">
        <f>Phase1open</f>
        <v>3</v>
      </c>
      <c r="I7" s="160"/>
      <c r="J7" s="160"/>
      <c r="K7" s="149"/>
      <c r="Q7" s="120"/>
    </row>
    <row r="8" spans="2:17">
      <c r="C8" s="136"/>
      <c r="D8" s="120"/>
    </row>
    <row r="9" spans="2:17">
      <c r="B9" s="121" t="s">
        <v>183</v>
      </c>
      <c r="C9" s="121"/>
      <c r="E9" s="122">
        <f>IF(OR(E$2=$H7,E$2&gt;$H7),INDEX(summary!$A$2:$D$24,MATCH($D6,summary!$A$2:$A$24,0),MATCH($D5,summary!$A$2:$D$2,0)),0)</f>
        <v>0</v>
      </c>
      <c r="F9" s="122">
        <f>IF(OR(F$2=$H7,F$2&gt;$H7),INDEX(summary!$A$2:$D$24,MATCH($D6,summary!$A$2:$A$24,0),MATCH($D5,summary!$A$2:$D$2,0)),0)</f>
        <v>0</v>
      </c>
      <c r="G9" s="122">
        <f>IF(OR(G$2=$H7,G$2&gt;$H7),INDEX(summary!$A$2:$D$24,MATCH($D6,summary!$A$2:$A$24,0),MATCH($D5,summary!$A$2:$D$2,0)),0)</f>
        <v>0</v>
      </c>
      <c r="H9" s="122">
        <f>IF(OR(H$2=$H7,H$2&gt;$H7),INDEX(summary!$A$2:$D$24,MATCH($D6,summary!$A$2:$A$24,0),MATCH($D5,summary!$A$2:$D$2,0)),0)</f>
        <v>629999.81836500007</v>
      </c>
      <c r="I9" s="122">
        <f>IF(OR(I$2=$H7,I$2&gt;$H7),INDEX(summary!$A$2:$D$24,MATCH($D6,summary!$A$2:$A$24,0),MATCH($D5,summary!$A$2:$D$2,0)),0)</f>
        <v>629999.81836500007</v>
      </c>
      <c r="J9" s="122">
        <f>IF(OR(J$2=$H7,J$2&gt;$H7),INDEX(summary!$A$2:$D$24,MATCH($D6,summary!$A$2:$A$24,0),MATCH($D5,summary!$A$2:$D$2,0)),0)</f>
        <v>629999.81836500007</v>
      </c>
      <c r="K9" s="122">
        <f>IF(OR(K$2=$H7,K$2&gt;$H7),INDEX(summary!$A$2:$D$24,MATCH($D6,summary!$A$2:$A$24,0),MATCH($D5,summary!$A$2:$D$2,0)),0)</f>
        <v>629999.81836500007</v>
      </c>
      <c r="L9" s="122">
        <f>IF(OR(L$2=$H7,L$2&gt;$H7),INDEX(summary!$A$2:$D$24,MATCH($D6,summary!$A$2:$A$24,0),MATCH($D5,summary!$A$2:$D$2,0)),0)</f>
        <v>629999.81836500007</v>
      </c>
      <c r="M9" s="122">
        <f>IF(OR(M$2=$H7,M$2&gt;$H7),INDEX(summary!$A$2:$D$24,MATCH($D6,summary!$A$2:$A$24,0),MATCH($D5,summary!$A$2:$D$2,0)),0)</f>
        <v>629999.81836500007</v>
      </c>
      <c r="N9" s="122">
        <f>IF(OR(N$2=$H7,N$2&gt;$H7),INDEX(summary!$A$2:$D$24,MATCH($D6,summary!$A$2:$A$24,0),MATCH($D5,summary!$A$2:$D$2,0)),0)</f>
        <v>629999.81836500007</v>
      </c>
      <c r="O9" s="122">
        <f>IF(OR(O$2=$H7,O$2&gt;$H7),INDEX(summary!$A$2:$D$24,MATCH($D6,summary!$A$2:$A$24,0),MATCH($D5,summary!$A$2:$D$2,0)),0)</f>
        <v>629999.81836500007</v>
      </c>
    </row>
    <row r="10" spans="2:17">
      <c r="B10" s="121" t="s">
        <v>195</v>
      </c>
      <c r="C10" s="137" t="s">
        <v>192</v>
      </c>
      <c r="D10" s="123">
        <f>INDEX(cockpit!$J$6:$X$16,MATCH($D6,cockpit!$J$6:$J$16,0),MATCH($C$10,cockpit!$J$6:$X$6,0))</f>
        <v>0.1</v>
      </c>
      <c r="E10" s="122">
        <f>E9*(1-$D10)</f>
        <v>0</v>
      </c>
      <c r="F10" s="122">
        <f t="shared" ref="F10:O10" si="0">F9*(1-$D10)</f>
        <v>0</v>
      </c>
      <c r="G10" s="122">
        <f t="shared" si="0"/>
        <v>0</v>
      </c>
      <c r="H10" s="122">
        <f t="shared" si="0"/>
        <v>566999.83652850008</v>
      </c>
      <c r="I10" s="122">
        <f t="shared" si="0"/>
        <v>566999.83652850008</v>
      </c>
      <c r="J10" s="122">
        <f t="shared" si="0"/>
        <v>566999.83652850008</v>
      </c>
      <c r="K10" s="122">
        <f t="shared" si="0"/>
        <v>566999.83652850008</v>
      </c>
      <c r="L10" s="122">
        <f t="shared" si="0"/>
        <v>566999.83652850008</v>
      </c>
      <c r="M10" s="122">
        <f t="shared" si="0"/>
        <v>566999.83652850008</v>
      </c>
      <c r="N10" s="122">
        <f t="shared" si="0"/>
        <v>566999.83652850008</v>
      </c>
      <c r="O10" s="122">
        <f t="shared" si="0"/>
        <v>566999.83652850008</v>
      </c>
      <c r="Q10" s="136"/>
    </row>
    <row r="11" spans="2:17">
      <c r="B11" s="121" t="s">
        <v>181</v>
      </c>
      <c r="C11" s="137" t="s">
        <v>153</v>
      </c>
      <c r="D11" s="138">
        <f>Residentialmarketraterampup</f>
        <v>0.47499999999999998</v>
      </c>
      <c r="E11" s="122">
        <f>IF(OR(E$2=$H7,AND(E$2&gt;$H7,E$2&lt;(SUM($H7,INDEX(cockpit!$J$6:$X$16,MATCH($D6,cockpit!$J$6:$J$16,0),MATCH($C$11,cockpit!$J$6:$X$6,0)))))),E10*$D11,0)</f>
        <v>0</v>
      </c>
      <c r="F11" s="122">
        <f>IF(OR(F$2=$H7,AND(F$2&gt;$H7,F$2&lt;(SUM($H7,INDEX(cockpit!$J$6:$X$16,MATCH($D6,cockpit!$J$6:$J$16,0),MATCH($C$11,cockpit!$J$6:$X$6,0)))))),F10*$D11,0)</f>
        <v>0</v>
      </c>
      <c r="G11" s="122">
        <f>IF(OR(G$2=$H7,AND(G$2&gt;$H7,G$2&lt;(SUM($H7,INDEX(cockpit!$J$6:$X$16,MATCH($D6,cockpit!$J$6:$J$16,0),MATCH($C$11,cockpit!$J$6:$X$6,0)))))),G10*$D11,0)</f>
        <v>0</v>
      </c>
      <c r="H11" s="122">
        <f>IF(OR(H$2=$H7,AND(H$2&gt;$H7,H$2&lt;(SUM($H7,INDEX(cockpit!$J$6:$X$16,MATCH($D6,cockpit!$J$6:$J$16,0),MATCH($C$11,cockpit!$J$6:$X$6,0)))))),H10*$D11,0)</f>
        <v>269324.9223510375</v>
      </c>
      <c r="I11" s="122">
        <f>IF(OR(I$2=$H7,AND(I$2&gt;$H7,I$2&lt;(SUM($H7,INDEX(cockpit!$J$6:$X$16,MATCH($D6,cockpit!$J$6:$J$16,0),MATCH($C$11,cockpit!$J$6:$X$6,0)))))),I10*$D11,0)</f>
        <v>269324.9223510375</v>
      </c>
      <c r="J11" s="122">
        <f>IF(OR(J$2=$H7,AND(J$2&gt;$H7,J$2&lt;(SUM($H7,INDEX(cockpit!$J$6:$X$16,MATCH($D6,cockpit!$J$6:$J$16,0),MATCH($C$11,cockpit!$J$6:$X$6,0)))))),J10*$D11,0)</f>
        <v>0</v>
      </c>
      <c r="K11" s="122">
        <f>IF(OR(K$2=$H7,AND(K$2&gt;$H7,K$2&lt;(SUM($H7,INDEX(cockpit!$J$6:$X$16,MATCH($D6,cockpit!$J$6:$J$16,0),MATCH($C$11,cockpit!$J$6:$X$6,0)))))),K10*$D11,0)</f>
        <v>0</v>
      </c>
      <c r="L11" s="122">
        <f>IF(OR(L$2=$H7,AND(L$2&gt;$H7,L$2&lt;(SUM($H7,INDEX(cockpit!$J$6:$X$16,MATCH($D6,cockpit!$J$6:$J$16,0),MATCH($C$11,cockpit!$J$6:$X$6,0)))))),L10*$D11,0)</f>
        <v>0</v>
      </c>
      <c r="M11" s="122">
        <f>IF(OR(M$2=$H7,AND(M$2&gt;$H7,M$2&lt;(SUM($H7,INDEX(cockpit!$J$6:$X$16,MATCH($D6,cockpit!$J$6:$J$16,0),MATCH($C$11,cockpit!$J$6:$X$6,0)))))),M10*$D11,0)</f>
        <v>0</v>
      </c>
      <c r="N11" s="122">
        <f>IF(OR(N$2=$H7,AND(N$2&gt;$H7,N$2&lt;(SUM($H7,INDEX(cockpit!$J$6:$X$16,MATCH($D6,cockpit!$J$6:$J$16,0),MATCH($C$11,cockpit!$J$6:$X$6,0)))))),N10*$D11,0)</f>
        <v>0</v>
      </c>
      <c r="O11" s="122">
        <f>IF(OR(O$2=$H7,AND(O$2&gt;$H7,O$2&lt;(SUM($H7,INDEX(cockpit!$J$6:$X$16,MATCH($D6,cockpit!$J$6:$J$16,0),MATCH($C$11,cockpit!$J$6:$X$6,0)))))),O10*$D11,0)</f>
        <v>0</v>
      </c>
      <c r="Q11" s="120"/>
    </row>
    <row r="12" spans="2:17" ht="10.5">
      <c r="B12" s="121" t="s">
        <v>182</v>
      </c>
      <c r="C12" s="139"/>
      <c r="E12" s="122">
        <f>SUM($E11:E11)</f>
        <v>0</v>
      </c>
      <c r="F12" s="122">
        <f>SUM($E11:F11)</f>
        <v>0</v>
      </c>
      <c r="G12" s="122">
        <f>SUM($E11:G11)</f>
        <v>0</v>
      </c>
      <c r="H12" s="122">
        <f>SUM($E11:H11)</f>
        <v>269324.9223510375</v>
      </c>
      <c r="I12" s="122">
        <f>SUM($E11:I11)</f>
        <v>538649.844702075</v>
      </c>
      <c r="J12" s="122">
        <f>SUM($E11:J11)</f>
        <v>538649.844702075</v>
      </c>
      <c r="K12" s="122">
        <f>SUM($E11:K11)</f>
        <v>538649.844702075</v>
      </c>
      <c r="L12" s="122">
        <f>SUM($E11:L11)</f>
        <v>538649.844702075</v>
      </c>
      <c r="M12" s="122">
        <f>SUM($E11:M11)</f>
        <v>538649.844702075</v>
      </c>
      <c r="N12" s="122">
        <f>SUM($E11:N11)</f>
        <v>538649.844702075</v>
      </c>
      <c r="O12" s="122">
        <f>SUM($E11:O11)</f>
        <v>538649.844702075</v>
      </c>
      <c r="Q12" s="40"/>
    </row>
    <row r="13" spans="2:17">
      <c r="C13" s="139"/>
      <c r="Q13" s="120"/>
    </row>
    <row r="14" spans="2:17">
      <c r="B14" s="121" t="s">
        <v>167</v>
      </c>
      <c r="C14" s="139"/>
      <c r="D14" s="124">
        <f>(ResidentialmarketratePSFrate*(1-$K5))+((ResidentialmarketratePSFrate*(1+premiumprices)*$K5))</f>
        <v>2.0610748069562281</v>
      </c>
      <c r="E14" s="125">
        <f t="shared" ref="E14:O14" si="1">E12*($D14*((1+Inflation)^(E$2-1)))*12</f>
        <v>0</v>
      </c>
      <c r="F14" s="125">
        <f t="shared" si="1"/>
        <v>0</v>
      </c>
      <c r="G14" s="125">
        <f t="shared" si="1"/>
        <v>0</v>
      </c>
      <c r="H14" s="125">
        <f t="shared" si="1"/>
        <v>6930297.6523419563</v>
      </c>
      <c r="I14" s="125">
        <f t="shared" si="1"/>
        <v>14137807.210777588</v>
      </c>
      <c r="J14" s="125">
        <f t="shared" si="1"/>
        <v>14420563.354993138</v>
      </c>
      <c r="K14" s="125">
        <f t="shared" si="1"/>
        <v>14708974.622093007</v>
      </c>
      <c r="L14" s="125">
        <f t="shared" si="1"/>
        <v>15003154.114534864</v>
      </c>
      <c r="M14" s="125">
        <f t="shared" si="1"/>
        <v>15303217.19682556</v>
      </c>
      <c r="N14" s="125">
        <f t="shared" si="1"/>
        <v>15609281.540762071</v>
      </c>
      <c r="O14" s="125">
        <f t="shared" si="1"/>
        <v>15921467.171577312</v>
      </c>
    </row>
    <row r="15" spans="2:17">
      <c r="B15" s="121" t="s">
        <v>124</v>
      </c>
      <c r="C15" s="139"/>
      <c r="D15" s="124">
        <f>INDEX(cockpit!$J$6:$X$16,MATCH($D6,cockpit!$J$6:$J$16,0),MATCH($B15,cockpit!$J$6:$X$6,0))</f>
        <v>6</v>
      </c>
      <c r="E15" s="126">
        <f t="shared" ref="E15:O15" si="2">-IF($D15&gt;1,E9*($D15*((1+Inflation)^(E$2-1))),E14*(1-$D15))</f>
        <v>0</v>
      </c>
      <c r="F15" s="126">
        <f t="shared" si="2"/>
        <v>0</v>
      </c>
      <c r="G15" s="126">
        <f t="shared" si="2"/>
        <v>0</v>
      </c>
      <c r="H15" s="126">
        <f t="shared" si="2"/>
        <v>-3932710.8661616766</v>
      </c>
      <c r="I15" s="126">
        <f t="shared" si="2"/>
        <v>-4011365.08348491</v>
      </c>
      <c r="J15" s="126">
        <f t="shared" si="2"/>
        <v>-4091592.3851546082</v>
      </c>
      <c r="K15" s="126">
        <f t="shared" si="2"/>
        <v>-4173424.2328577004</v>
      </c>
      <c r="L15" s="126">
        <f t="shared" si="2"/>
        <v>-4256892.7175148539</v>
      </c>
      <c r="M15" s="126">
        <f t="shared" si="2"/>
        <v>-4342030.5718651507</v>
      </c>
      <c r="N15" s="126">
        <f t="shared" si="2"/>
        <v>-4428871.1833024547</v>
      </c>
      <c r="O15" s="126">
        <f t="shared" si="2"/>
        <v>-4517448.6069685034</v>
      </c>
    </row>
    <row r="16" spans="2:17">
      <c r="B16" s="127" t="s">
        <v>168</v>
      </c>
      <c r="C16" s="139"/>
      <c r="E16" s="125">
        <f>SUM(E14:E15)</f>
        <v>0</v>
      </c>
      <c r="F16" s="125">
        <f t="shared" ref="F16:O16" si="3">SUM(F14:F15)</f>
        <v>0</v>
      </c>
      <c r="G16" s="125">
        <f t="shared" si="3"/>
        <v>0</v>
      </c>
      <c r="H16" s="125">
        <f t="shared" si="3"/>
        <v>2997586.7861802797</v>
      </c>
      <c r="I16" s="125">
        <f t="shared" si="3"/>
        <v>10126442.127292678</v>
      </c>
      <c r="J16" s="125">
        <f t="shared" si="3"/>
        <v>10328970.96983853</v>
      </c>
      <c r="K16" s="125">
        <f t="shared" si="3"/>
        <v>10535550.389235307</v>
      </c>
      <c r="L16" s="125">
        <f t="shared" si="3"/>
        <v>10746261.39702001</v>
      </c>
      <c r="M16" s="125">
        <f t="shared" si="3"/>
        <v>10961186.624960409</v>
      </c>
      <c r="N16" s="125">
        <f t="shared" si="3"/>
        <v>11180410.357459616</v>
      </c>
      <c r="O16" s="125">
        <f t="shared" si="3"/>
        <v>11404018.564608809</v>
      </c>
    </row>
    <row r="17" spans="2:17">
      <c r="C17" s="139"/>
      <c r="E17" s="217">
        <f t="shared" ref="E17:O17" si="4">IFERROR(E16/SUM(E13:E14),0)</f>
        <v>0</v>
      </c>
      <c r="F17" s="217">
        <f t="shared" si="4"/>
        <v>0</v>
      </c>
      <c r="G17" s="217">
        <f t="shared" si="4"/>
        <v>0</v>
      </c>
      <c r="H17" s="217">
        <f t="shared" si="4"/>
        <v>0.43253362792683298</v>
      </c>
      <c r="I17" s="217">
        <f t="shared" si="4"/>
        <v>0.7162668139634164</v>
      </c>
      <c r="J17" s="217">
        <f t="shared" si="4"/>
        <v>0.7162668139634164</v>
      </c>
      <c r="K17" s="217">
        <f t="shared" si="4"/>
        <v>0.71626681396341652</v>
      </c>
      <c r="L17" s="217">
        <f t="shared" si="4"/>
        <v>0.71626681396341652</v>
      </c>
      <c r="M17" s="217">
        <f t="shared" si="4"/>
        <v>0.71626681396341652</v>
      </c>
      <c r="N17" s="217">
        <f t="shared" si="4"/>
        <v>0.7162668139634164</v>
      </c>
      <c r="O17" s="217">
        <f t="shared" si="4"/>
        <v>0.7162668139634164</v>
      </c>
    </row>
    <row r="18" spans="2:17">
      <c r="B18" s="121" t="s">
        <v>169</v>
      </c>
      <c r="C18" s="139"/>
      <c r="D18" s="128">
        <f>INDEX(cockpit!$J$6:$X$16,MATCH($D6,cockpit!$J$6:$J$16,0),MATCH($B18,cockpit!$J$6:$X$6,0))</f>
        <v>0.03</v>
      </c>
      <c r="E18" s="125">
        <f>-E10*$D18</f>
        <v>0</v>
      </c>
      <c r="F18" s="125">
        <f t="shared" ref="F18:O18" si="5">-F10*$D18</f>
        <v>0</v>
      </c>
      <c r="G18" s="125">
        <f t="shared" si="5"/>
        <v>0</v>
      </c>
      <c r="H18" s="125">
        <f t="shared" si="5"/>
        <v>-17009.995095855003</v>
      </c>
      <c r="I18" s="125">
        <f t="shared" si="5"/>
        <v>-17009.995095855003</v>
      </c>
      <c r="J18" s="125">
        <f t="shared" si="5"/>
        <v>-17009.995095855003</v>
      </c>
      <c r="K18" s="125">
        <f t="shared" si="5"/>
        <v>-17009.995095855003</v>
      </c>
      <c r="L18" s="125">
        <f t="shared" si="5"/>
        <v>-17009.995095855003</v>
      </c>
      <c r="M18" s="125">
        <f t="shared" si="5"/>
        <v>-17009.995095855003</v>
      </c>
      <c r="N18" s="125">
        <f t="shared" si="5"/>
        <v>-17009.995095855003</v>
      </c>
      <c r="O18" s="125">
        <f t="shared" si="5"/>
        <v>-17009.995095855003</v>
      </c>
    </row>
    <row r="19" spans="2:17">
      <c r="B19" s="121" t="s">
        <v>163</v>
      </c>
      <c r="C19" s="139"/>
      <c r="D19" s="128">
        <f>INDEX(cockpit!$J$6:$X$16,MATCH($D6,cockpit!$J$6:$J$16,0),MATCH($B19,cockpit!$J$6:$X$6,0))</f>
        <v>2.5000000000000001E-2</v>
      </c>
      <c r="E19" s="126">
        <f>-E12*$D19</f>
        <v>0</v>
      </c>
      <c r="F19" s="126">
        <f t="shared" ref="F19:O19" si="6">-F12*$D19</f>
        <v>0</v>
      </c>
      <c r="G19" s="126">
        <f t="shared" si="6"/>
        <v>0</v>
      </c>
      <c r="H19" s="126">
        <f t="shared" si="6"/>
        <v>-6733.1230587759383</v>
      </c>
      <c r="I19" s="126">
        <f t="shared" si="6"/>
        <v>-13466.246117551877</v>
      </c>
      <c r="J19" s="126">
        <f t="shared" si="6"/>
        <v>-13466.246117551877</v>
      </c>
      <c r="K19" s="126">
        <f t="shared" si="6"/>
        <v>-13466.246117551877</v>
      </c>
      <c r="L19" s="126">
        <f t="shared" si="6"/>
        <v>-13466.246117551877</v>
      </c>
      <c r="M19" s="126">
        <f t="shared" si="6"/>
        <v>-13466.246117551877</v>
      </c>
      <c r="N19" s="126">
        <f t="shared" si="6"/>
        <v>-13466.246117551877</v>
      </c>
      <c r="O19" s="126">
        <f t="shared" si="6"/>
        <v>-13466.246117551877</v>
      </c>
    </row>
    <row r="20" spans="2:17">
      <c r="B20" s="127" t="s">
        <v>196</v>
      </c>
      <c r="C20" s="139"/>
      <c r="D20" s="128"/>
      <c r="E20" s="129">
        <f>SUM(E18:E19)</f>
        <v>0</v>
      </c>
      <c r="F20" s="129">
        <f t="shared" ref="F20:O20" si="7">SUM(F18:F19)</f>
        <v>0</v>
      </c>
      <c r="G20" s="129">
        <f t="shared" si="7"/>
        <v>0</v>
      </c>
      <c r="H20" s="129">
        <f t="shared" si="7"/>
        <v>-23743.118154630942</v>
      </c>
      <c r="I20" s="129">
        <f t="shared" si="7"/>
        <v>-30476.24121340688</v>
      </c>
      <c r="J20" s="129">
        <f t="shared" si="7"/>
        <v>-30476.24121340688</v>
      </c>
      <c r="K20" s="129">
        <f t="shared" si="7"/>
        <v>-30476.24121340688</v>
      </c>
      <c r="L20" s="129">
        <f t="shared" si="7"/>
        <v>-30476.24121340688</v>
      </c>
      <c r="M20" s="129">
        <f t="shared" si="7"/>
        <v>-30476.24121340688</v>
      </c>
      <c r="N20" s="129">
        <f t="shared" si="7"/>
        <v>-30476.24121340688</v>
      </c>
      <c r="O20" s="129">
        <f t="shared" si="7"/>
        <v>-30476.24121340688</v>
      </c>
    </row>
    <row r="21" spans="2:17">
      <c r="B21" s="121"/>
      <c r="C21" s="139"/>
    </row>
    <row r="22" spans="2:17">
      <c r="B22" s="121" t="s">
        <v>277</v>
      </c>
      <c r="C22" s="139"/>
      <c r="E22" s="252">
        <v>0</v>
      </c>
      <c r="F22" s="124">
        <f>-'acq-demo-repur'!U10</f>
        <v>-266630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52">
        <v>0</v>
      </c>
    </row>
    <row r="23" spans="2:17">
      <c r="B23" s="121" t="s">
        <v>280</v>
      </c>
      <c r="C23" s="139"/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</row>
    <row r="24" spans="2:17">
      <c r="B24" s="121" t="s">
        <v>171</v>
      </c>
      <c r="C24" s="139"/>
      <c r="D24" s="124">
        <f>(ResidentialmarketrateconstructionPSF*(1-$K5))+((ResidentialmarketrateconstructionPSF*(1+premiumprices)*$K5))</f>
        <v>137.57674336432822</v>
      </c>
      <c r="E24" s="125">
        <f>-IF(OR(E$2=$H5,E$2=$H6,AND(E$2&gt;$H5,E$2&lt;$H6)),(INDEX(summary!$A$2:$D$24,MATCH($D6,summary!$A$2:$A$24,0),MATCH($D5,summary!$A$2:$D$2,0)))/Constructiontime)*($D24*((1+Inflation)^(E$2-1)))*(1+Developerfee)</f>
        <v>0</v>
      </c>
      <c r="F24" s="125">
        <f>-IF(OR(F$2=$H5,F$2=$H6,AND(F$2&gt;$H5,F$2&lt;$H6)),(INDEX(summary!$A$2:$D$24,MATCH($D6,summary!$A$2:$A$24,0),MATCH($D5,summary!$A$2:$D$2,0)))/Constructiontime)*($D24*((1+Inflation)^(F$2-1)))*(1+Developerfee)</f>
        <v>-49837160.915195629</v>
      </c>
      <c r="G24" s="125">
        <f>-IF(OR(G$2=$H5,G$2=$H6,AND(G$2&gt;$H5,G$2&lt;$H6)),(INDEX(summary!$A$2:$D$24,MATCH($D6,summary!$A$2:$A$24,0),MATCH($D5,summary!$A$2:$D$2,0)))/Constructiontime)*($D24*((1+Inflation)^(G$2-1)))*(1+Developerfee)</f>
        <v>-50833904.133499548</v>
      </c>
      <c r="H24" s="125">
        <f>-IF(OR(H$2=$H5,H$2=$H6,AND(H$2&gt;$H5,H$2&lt;$H6)),(INDEX(summary!$A$2:$D$24,MATCH($D6,summary!$A$2:$A$24,0),MATCH($D5,summary!$A$2:$D$2,0)))/Constructiontime)*($D24*((1+Inflation)^(H$2-1)))*(1+Developerfee)</f>
        <v>0</v>
      </c>
      <c r="I24" s="125">
        <f>-IF(OR(I$2=$H5,I$2=$H6,AND(I$2&gt;$H5,I$2&lt;$H6)),(INDEX(summary!$A$2:$D$24,MATCH($D6,summary!$A$2:$A$24,0),MATCH($D5,summary!$A$2:$D$2,0)))/Constructiontime)*($D24*((1+Inflation)^(I$2-1)))*(1+Developerfee)</f>
        <v>0</v>
      </c>
      <c r="J24" s="125">
        <f>-IF(OR(J$2=$H5,J$2=$H6,AND(J$2&gt;$H5,J$2&lt;$H6)),(INDEX(summary!$A$2:$D$24,MATCH($D6,summary!$A$2:$A$24,0),MATCH($D5,summary!$A$2:$D$2,0)))/Constructiontime)*($D24*((1+Inflation)^(J$2-1)))*(1+Developerfee)</f>
        <v>0</v>
      </c>
      <c r="K24" s="125">
        <f>-IF(OR(K$2=$H5,K$2=$H6,AND(K$2&gt;$H5,K$2&lt;$H6)),(INDEX(summary!$A$2:$D$24,MATCH($D6,summary!$A$2:$A$24,0),MATCH($D5,summary!$A$2:$D$2,0)))/Constructiontime)*($D24*((1+Inflation)^(K$2-1)))*(1+Developerfee)</f>
        <v>0</v>
      </c>
      <c r="L24" s="125">
        <f>-IF(OR(L$2=$H5,L$2=$H6,AND(L$2&gt;$H5,L$2&lt;$H6)),(INDEX(summary!$A$2:$D$24,MATCH($D6,summary!$A$2:$A$24,0),MATCH($D5,summary!$A$2:$D$2,0)))/Constructiontime)*($D24*((1+Inflation)^(L$2-1)))*(1+Developerfee)</f>
        <v>0</v>
      </c>
      <c r="M24" s="125">
        <f>-IF(OR(M$2=$H5,M$2=$H6,AND(M$2&gt;$H5,M$2&lt;$H6)),(INDEX(summary!$A$2:$D$24,MATCH($D6,summary!$A$2:$A$24,0),MATCH($D5,summary!$A$2:$D$2,0)))/Constructiontime)*($D24*((1+Inflation)^(M$2-1)))*(1+Developerfee)</f>
        <v>0</v>
      </c>
      <c r="N24" s="125">
        <f>-IF(OR(N$2=$H5,N$2=$H6,AND(N$2&gt;$H5,N$2&lt;$H6)),(INDEX(summary!$A$2:$D$24,MATCH($D6,summary!$A$2:$A$24,0),MATCH($D5,summary!$A$2:$D$2,0)))/Constructiontime)*($D24*((1+Inflation)^(N$2-1)))*(1+Developerfee)</f>
        <v>0</v>
      </c>
      <c r="O24" s="125">
        <f>-IF(OR(O$2=$H5,O$2=$H6,AND(O$2&gt;$H5,O$2&lt;$H6)),(INDEX(summary!$A$2:$D$24,MATCH($D6,summary!$A$2:$A$24,0),MATCH($D5,summary!$A$2:$D$2,0)))/Constructiontime)*($D24*((1+Inflation)^(O$2-1)))*(1+Developerfee)</f>
        <v>0</v>
      </c>
    </row>
    <row r="25" spans="2:17">
      <c r="B25" s="121" t="s">
        <v>198</v>
      </c>
      <c r="C25" s="139" t="s">
        <v>190</v>
      </c>
      <c r="D25" s="138">
        <f>(INDEX(cockpit!$J$6:$X$16,MATCH($D6,cockpit!$J$6:$J$16,0),MATCH($C25,cockpit!$J$6:$X$6,0))*(1-$K5))+((INDEX(cockpit!$J$6:$X$16,MATCH($D6,cockpit!$J$6:$J$16,0),MATCH($C25,cockpit!$J$6:$X$6,0))-(Premiumexitcaprate))*$K5)</f>
        <v>6.7022825302902184E-2</v>
      </c>
      <c r="E25" s="126">
        <f t="shared" ref="E25:O25" si="8">IF(E$2=dispositionyear,E16/$D25,0)*(1-Closingcosts)</f>
        <v>0</v>
      </c>
      <c r="F25" s="126">
        <f t="shared" si="8"/>
        <v>0</v>
      </c>
      <c r="G25" s="126">
        <f t="shared" si="8"/>
        <v>0</v>
      </c>
      <c r="H25" s="126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6">
        <f t="shared" si="8"/>
        <v>0</v>
      </c>
      <c r="N25" s="126">
        <f t="shared" si="8"/>
        <v>0</v>
      </c>
      <c r="O25" s="126">
        <f t="shared" si="8"/>
        <v>165897484.18158856</v>
      </c>
    </row>
    <row r="26" spans="2:17">
      <c r="B26" s="127" t="s">
        <v>197</v>
      </c>
      <c r="C26" s="139"/>
      <c r="D26" s="123"/>
      <c r="E26" s="129">
        <f>SUM(E24:E25)</f>
        <v>0</v>
      </c>
      <c r="F26" s="129">
        <f t="shared" ref="F26:O26" si="9">SUM(F24:F25)</f>
        <v>-49837160.915195629</v>
      </c>
      <c r="G26" s="129">
        <f t="shared" si="9"/>
        <v>-50833904.133499548</v>
      </c>
      <c r="H26" s="129">
        <f t="shared" si="9"/>
        <v>0</v>
      </c>
      <c r="I26" s="129">
        <f t="shared" si="9"/>
        <v>0</v>
      </c>
      <c r="J26" s="129">
        <f t="shared" si="9"/>
        <v>0</v>
      </c>
      <c r="K26" s="129">
        <f t="shared" si="9"/>
        <v>0</v>
      </c>
      <c r="L26" s="129">
        <f t="shared" si="9"/>
        <v>0</v>
      </c>
      <c r="M26" s="129">
        <f t="shared" si="9"/>
        <v>0</v>
      </c>
      <c r="N26" s="129">
        <f t="shared" si="9"/>
        <v>0</v>
      </c>
      <c r="O26" s="129">
        <f t="shared" si="9"/>
        <v>165897484.18158856</v>
      </c>
    </row>
    <row r="27" spans="2:17">
      <c r="B27" s="121"/>
      <c r="C27" s="139"/>
      <c r="D27" s="123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2:17">
      <c r="B28" s="127" t="s">
        <v>170</v>
      </c>
      <c r="C28" s="127"/>
      <c r="D28" s="130">
        <f ca="1">IRR(OFFSET(E28,0,0,1,Investmenthorizon+1))</f>
        <v>0.12918284018758075</v>
      </c>
      <c r="E28" s="131">
        <f>SUM(E16,E20,E26)</f>
        <v>0</v>
      </c>
      <c r="F28" s="131">
        <f t="shared" ref="F28:O28" si="10">SUM(F16,F20,F26)</f>
        <v>-49837160.915195629</v>
      </c>
      <c r="G28" s="131">
        <f t="shared" si="10"/>
        <v>-50833904.133499548</v>
      </c>
      <c r="H28" s="131">
        <f t="shared" si="10"/>
        <v>2973843.6680256487</v>
      </c>
      <c r="I28" s="131">
        <f t="shared" si="10"/>
        <v>10095965.88607927</v>
      </c>
      <c r="J28" s="131">
        <f t="shared" si="10"/>
        <v>10298494.728625122</v>
      </c>
      <c r="K28" s="131">
        <f t="shared" si="10"/>
        <v>10505074.148021899</v>
      </c>
      <c r="L28" s="131">
        <f t="shared" si="10"/>
        <v>10715785.155806603</v>
      </c>
      <c r="M28" s="131">
        <f t="shared" si="10"/>
        <v>10930710.383747002</v>
      </c>
      <c r="N28" s="131">
        <f t="shared" si="10"/>
        <v>11149934.116246209</v>
      </c>
      <c r="O28" s="131">
        <f t="shared" si="10"/>
        <v>177271026.50498396</v>
      </c>
    </row>
    <row r="29" spans="2:17" ht="9.3000000000000007" thickBot="1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</row>
    <row r="30" spans="2:17">
      <c r="B30" s="144" t="s">
        <v>199</v>
      </c>
      <c r="C30" s="145"/>
      <c r="D30" s="145"/>
      <c r="E30" s="156"/>
      <c r="F30" s="157"/>
      <c r="G30" s="157"/>
      <c r="H30" s="157"/>
      <c r="I30" s="157"/>
      <c r="J30" s="157"/>
      <c r="K30" s="146"/>
      <c r="L30" s="119"/>
      <c r="M30" s="119"/>
      <c r="N30" s="119"/>
      <c r="O30" s="119"/>
      <c r="P30" s="142"/>
      <c r="Q30" s="142"/>
    </row>
    <row r="31" spans="2:17">
      <c r="B31" s="147" t="s">
        <v>89</v>
      </c>
      <c r="C31" s="142"/>
      <c r="D31" s="155">
        <f>Phase2</f>
        <v>2</v>
      </c>
      <c r="E31" s="140"/>
      <c r="F31" s="140"/>
      <c r="G31" s="141" t="s">
        <v>205</v>
      </c>
      <c r="H31" s="161">
        <f>Phase2begin</f>
        <v>3</v>
      </c>
      <c r="I31" s="140"/>
      <c r="J31" s="141" t="s">
        <v>202</v>
      </c>
      <c r="K31" s="158">
        <f>summary!AH12</f>
        <v>0.5290845946804158</v>
      </c>
      <c r="P31" s="142"/>
      <c r="Q31" s="142"/>
    </row>
    <row r="32" spans="2:17">
      <c r="B32" s="147" t="s">
        <v>94</v>
      </c>
      <c r="C32" s="142"/>
      <c r="D32" s="152" t="s">
        <v>165</v>
      </c>
      <c r="E32" s="140"/>
      <c r="F32" s="140"/>
      <c r="G32" s="141" t="s">
        <v>206</v>
      </c>
      <c r="H32" s="161">
        <f>Phase2end</f>
        <v>4</v>
      </c>
      <c r="I32" s="140"/>
      <c r="J32" s="140"/>
      <c r="K32" s="148"/>
      <c r="P32" s="142"/>
      <c r="Q32" s="142"/>
    </row>
    <row r="33" spans="2:17" ht="9.3000000000000007" thickBot="1">
      <c r="B33" s="159"/>
      <c r="C33" s="160"/>
      <c r="D33" s="160"/>
      <c r="E33" s="160"/>
      <c r="F33" s="160"/>
      <c r="G33" s="150" t="s">
        <v>200</v>
      </c>
      <c r="H33" s="153">
        <f>Phase2open</f>
        <v>5</v>
      </c>
      <c r="I33" s="160"/>
      <c r="J33" s="160"/>
      <c r="K33" s="149"/>
      <c r="P33" s="142"/>
      <c r="Q33" s="142"/>
    </row>
    <row r="34" spans="2:17">
      <c r="C34" s="136"/>
      <c r="D34" s="120"/>
      <c r="P34" s="142"/>
      <c r="Q34" s="142"/>
    </row>
    <row r="35" spans="2:17">
      <c r="B35" s="121" t="s">
        <v>183</v>
      </c>
      <c r="C35" s="121"/>
      <c r="E35" s="122">
        <f>IF(OR(E$2=$H33,E$2&gt;$H33),INDEX(summary!$A$2:$D$24,MATCH($D32,summary!$A$2:$A$24,0),MATCH($D31,summary!$A$2:$D$2,0)),0)</f>
        <v>0</v>
      </c>
      <c r="F35" s="122">
        <f>IF(OR(F$2=$H33,F$2&gt;$H33),INDEX(summary!$A$2:$D$24,MATCH($D32,summary!$A$2:$A$24,0),MATCH($D31,summary!$A$2:$D$2,0)),0)</f>
        <v>0</v>
      </c>
      <c r="G35" s="122">
        <f>IF(OR(G$2=$H33,G$2&gt;$H33),INDEX(summary!$A$2:$D$24,MATCH($D32,summary!$A$2:$A$24,0),MATCH($D31,summary!$A$2:$D$2,0)),0)</f>
        <v>0</v>
      </c>
      <c r="H35" s="122">
        <f>IF(OR(H$2=$H33,H$2&gt;$H33),INDEX(summary!$A$2:$D$24,MATCH($D32,summary!$A$2:$A$24,0),MATCH($D31,summary!$A$2:$D$2,0)),0)</f>
        <v>0</v>
      </c>
      <c r="I35" s="122">
        <f>IF(OR(I$2=$H33,I$2&gt;$H33),INDEX(summary!$A$2:$D$24,MATCH($D32,summary!$A$2:$A$24,0),MATCH($D31,summary!$A$2:$D$2,0)),0)</f>
        <v>0</v>
      </c>
      <c r="J35" s="122">
        <f>IF(OR(J$2=$H33,J$2&gt;$H33),INDEX(summary!$A$2:$D$24,MATCH($D32,summary!$A$2:$A$24,0),MATCH($D31,summary!$A$2:$D$2,0)),0)</f>
        <v>192494.85995999997</v>
      </c>
      <c r="K35" s="122">
        <f>IF(OR(K$2=$H33,K$2&gt;$H33),INDEX(summary!$A$2:$D$24,MATCH($D32,summary!$A$2:$A$24,0),MATCH($D31,summary!$A$2:$D$2,0)),0)</f>
        <v>192494.85995999997</v>
      </c>
      <c r="L35" s="122">
        <f>IF(OR(L$2=$H33,L$2&gt;$H33),INDEX(summary!$A$2:$D$24,MATCH($D32,summary!$A$2:$A$24,0),MATCH($D31,summary!$A$2:$D$2,0)),0)</f>
        <v>192494.85995999997</v>
      </c>
      <c r="M35" s="122">
        <f>IF(OR(M$2=$H33,M$2&gt;$H33),INDEX(summary!$A$2:$D$24,MATCH($D32,summary!$A$2:$A$24,0),MATCH($D31,summary!$A$2:$D$2,0)),0)</f>
        <v>192494.85995999997</v>
      </c>
      <c r="N35" s="122">
        <f>IF(OR(N$2=$H33,N$2&gt;$H33),INDEX(summary!$A$2:$D$24,MATCH($D32,summary!$A$2:$A$24,0),MATCH($D31,summary!$A$2:$D$2,0)),0)</f>
        <v>192494.85995999997</v>
      </c>
      <c r="O35" s="122">
        <f>IF(OR(O$2=$H33,O$2&gt;$H33),INDEX(summary!$A$2:$D$24,MATCH($D32,summary!$A$2:$A$24,0),MATCH($D31,summary!$A$2:$D$2,0)),0)</f>
        <v>192494.85995999997</v>
      </c>
      <c r="P35" s="142"/>
      <c r="Q35" s="142"/>
    </row>
    <row r="36" spans="2:17">
      <c r="B36" s="121" t="s">
        <v>195</v>
      </c>
      <c r="C36" s="137" t="s">
        <v>192</v>
      </c>
      <c r="D36" s="123">
        <f>INDEX(cockpit!$J$6:$X$16,MATCH($D32,cockpit!$J$6:$J$16,0),MATCH($C$10,cockpit!$J$6:$X$6,0))</f>
        <v>0.1</v>
      </c>
      <c r="E36" s="122">
        <f>E35*(1-$D36)</f>
        <v>0</v>
      </c>
      <c r="F36" s="122">
        <f t="shared" ref="F36" si="11">F35*(1-$D36)</f>
        <v>0</v>
      </c>
      <c r="G36" s="122">
        <f t="shared" ref="G36" si="12">G35*(1-$D36)</f>
        <v>0</v>
      </c>
      <c r="H36" s="122">
        <f t="shared" ref="H36" si="13">H35*(1-$D36)</f>
        <v>0</v>
      </c>
      <c r="I36" s="122">
        <f t="shared" ref="I36" si="14">I35*(1-$D36)</f>
        <v>0</v>
      </c>
      <c r="J36" s="122">
        <f t="shared" ref="J36" si="15">J35*(1-$D36)</f>
        <v>173245.37396399997</v>
      </c>
      <c r="K36" s="122">
        <f t="shared" ref="K36" si="16">K35*(1-$D36)</f>
        <v>173245.37396399997</v>
      </c>
      <c r="L36" s="122">
        <f t="shared" ref="L36" si="17">L35*(1-$D36)</f>
        <v>173245.37396399997</v>
      </c>
      <c r="M36" s="122">
        <f t="shared" ref="M36" si="18">M35*(1-$D36)</f>
        <v>173245.37396399997</v>
      </c>
      <c r="N36" s="122">
        <f t="shared" ref="N36" si="19">N35*(1-$D36)</f>
        <v>173245.37396399997</v>
      </c>
      <c r="O36" s="122">
        <f t="shared" ref="O36" si="20">O35*(1-$D36)</f>
        <v>173245.37396399997</v>
      </c>
      <c r="P36" s="142"/>
      <c r="Q36" s="142"/>
    </row>
    <row r="37" spans="2:17">
      <c r="B37" s="121" t="s">
        <v>181</v>
      </c>
      <c r="C37" s="137" t="s">
        <v>153</v>
      </c>
      <c r="D37" s="138">
        <f>Residentialmarketraterampup</f>
        <v>0.47499999999999998</v>
      </c>
      <c r="E37" s="122">
        <f>IF(OR(E$2=$H33,AND(E$2&gt;$H33,E$2&lt;(SUM($H33,INDEX(cockpit!$J$6:$X$16,MATCH($D32,cockpit!$J$6:$J$16,0),MATCH($C$11,cockpit!$J$6:$X$6,0)))))),E36*$D37,0)</f>
        <v>0</v>
      </c>
      <c r="F37" s="122">
        <f>IF(OR(F$2=$H33,AND(F$2&gt;$H33,F$2&lt;(SUM($H33,INDEX(cockpit!$J$6:$X$16,MATCH($D32,cockpit!$J$6:$J$16,0),MATCH($C$11,cockpit!$J$6:$X$6,0)))))),F36*$D37,0)</f>
        <v>0</v>
      </c>
      <c r="G37" s="122">
        <f>IF(OR(G$2=$H33,AND(G$2&gt;$H33,G$2&lt;(SUM($H33,INDEX(cockpit!$J$6:$X$16,MATCH($D32,cockpit!$J$6:$J$16,0),MATCH($C$11,cockpit!$J$6:$X$6,0)))))),G36*$D37,0)</f>
        <v>0</v>
      </c>
      <c r="H37" s="122">
        <f>IF(OR(H$2=$H33,AND(H$2&gt;$H33,H$2&lt;(SUM($H33,INDEX(cockpit!$J$6:$X$16,MATCH($D32,cockpit!$J$6:$J$16,0),MATCH($C$11,cockpit!$J$6:$X$6,0)))))),H36*$D37,0)</f>
        <v>0</v>
      </c>
      <c r="I37" s="122">
        <f>IF(OR(I$2=$H33,AND(I$2&gt;$H33,I$2&lt;(SUM($H33,INDEX(cockpit!$J$6:$X$16,MATCH($D32,cockpit!$J$6:$J$16,0),MATCH($C$11,cockpit!$J$6:$X$6,0)))))),I36*$D37,0)</f>
        <v>0</v>
      </c>
      <c r="J37" s="122">
        <f>IF(OR(J$2=$H33,AND(J$2&gt;$H33,J$2&lt;(SUM($H33,INDEX(cockpit!$J$6:$X$16,MATCH($D32,cockpit!$J$6:$J$16,0),MATCH($C$11,cockpit!$J$6:$X$6,0)))))),J36*$D37,0)</f>
        <v>82291.552632899984</v>
      </c>
      <c r="K37" s="122">
        <f>IF(OR(K$2=$H33,AND(K$2&gt;$H33,K$2&lt;(SUM($H33,INDEX(cockpit!$J$6:$X$16,MATCH($D32,cockpit!$J$6:$J$16,0),MATCH($C$11,cockpit!$J$6:$X$6,0)))))),K36*$D37,0)</f>
        <v>82291.552632899984</v>
      </c>
      <c r="L37" s="122">
        <f>IF(OR(L$2=$H33,AND(L$2&gt;$H33,L$2&lt;(SUM($H33,INDEX(cockpit!$J$6:$X$16,MATCH($D32,cockpit!$J$6:$J$16,0),MATCH($C$11,cockpit!$J$6:$X$6,0)))))),L36*$D37,0)</f>
        <v>0</v>
      </c>
      <c r="M37" s="122">
        <f>IF(OR(M$2=$H33,AND(M$2&gt;$H33,M$2&lt;(SUM($H33,INDEX(cockpit!$J$6:$X$16,MATCH($D32,cockpit!$J$6:$J$16,0),MATCH($C$11,cockpit!$J$6:$X$6,0)))))),M36*$D37,0)</f>
        <v>0</v>
      </c>
      <c r="N37" s="122">
        <f>IF(OR(N$2=$H33,AND(N$2&gt;$H33,N$2&lt;(SUM($H33,INDEX(cockpit!$J$6:$X$16,MATCH($D32,cockpit!$J$6:$J$16,0),MATCH($C$11,cockpit!$J$6:$X$6,0)))))),N36*$D37,0)</f>
        <v>0</v>
      </c>
      <c r="O37" s="122">
        <f>IF(OR(O$2=$H33,AND(O$2&gt;$H33,O$2&lt;(SUM($H33,INDEX(cockpit!$J$6:$X$16,MATCH($D32,cockpit!$J$6:$J$16,0),MATCH($C$11,cockpit!$J$6:$X$6,0)))))),O36*$D37,0)</f>
        <v>0</v>
      </c>
      <c r="P37" s="142"/>
      <c r="Q37" s="142"/>
    </row>
    <row r="38" spans="2:17">
      <c r="B38" s="121" t="s">
        <v>182</v>
      </c>
      <c r="C38" s="139"/>
      <c r="E38" s="122">
        <f>SUM($E37:E37)</f>
        <v>0</v>
      </c>
      <c r="F38" s="122">
        <f>SUM($E37:F37)</f>
        <v>0</v>
      </c>
      <c r="G38" s="122">
        <f>SUM($E37:G37)</f>
        <v>0</v>
      </c>
      <c r="H38" s="122">
        <f>SUM($E37:H37)</f>
        <v>0</v>
      </c>
      <c r="I38" s="122">
        <f>SUM($E37:I37)</f>
        <v>0</v>
      </c>
      <c r="J38" s="122">
        <f>SUM($E37:J37)</f>
        <v>82291.552632899984</v>
      </c>
      <c r="K38" s="122">
        <f>SUM($E37:K37)</f>
        <v>164583.10526579997</v>
      </c>
      <c r="L38" s="122">
        <f>SUM($E37:L37)</f>
        <v>164583.10526579997</v>
      </c>
      <c r="M38" s="122">
        <f>SUM($E37:M37)</f>
        <v>164583.10526579997</v>
      </c>
      <c r="N38" s="122">
        <f>SUM($E37:N37)</f>
        <v>164583.10526579997</v>
      </c>
      <c r="O38" s="122">
        <f>SUM($E37:O37)</f>
        <v>164583.10526579997</v>
      </c>
      <c r="P38" s="142"/>
      <c r="Q38" s="142"/>
    </row>
    <row r="39" spans="2:17">
      <c r="C39" s="139"/>
      <c r="P39" s="142"/>
      <c r="Q39" s="142"/>
    </row>
    <row r="40" spans="2:17">
      <c r="B40" s="121" t="s">
        <v>167</v>
      </c>
      <c r="C40" s="139"/>
      <c r="D40" s="124">
        <f>(ResidentialmarketratePSFrate*(1-$K31))+((ResidentialmarketratePSFrate*(1+premiumprices)*$K31))</f>
        <v>2.2364836562752242</v>
      </c>
      <c r="E40" s="125">
        <f t="shared" ref="E40:O40" si="21">E38*($D40*((1+Inflation)^(E$2-1)))*12</f>
        <v>0</v>
      </c>
      <c r="F40" s="125">
        <f t="shared" si="21"/>
        <v>0</v>
      </c>
      <c r="G40" s="125">
        <f t="shared" si="21"/>
        <v>0</v>
      </c>
      <c r="H40" s="125">
        <f t="shared" si="21"/>
        <v>0</v>
      </c>
      <c r="I40" s="125">
        <f t="shared" si="21"/>
        <v>0</v>
      </c>
      <c r="J40" s="125">
        <f>(J38*12)*($D40*((1+Inflation)^(J$2-1)))</f>
        <v>2390577.9992382992</v>
      </c>
      <c r="K40" s="125">
        <f t="shared" si="21"/>
        <v>4876779.1184461303</v>
      </c>
      <c r="L40" s="125">
        <f t="shared" si="21"/>
        <v>4974314.7008150537</v>
      </c>
      <c r="M40" s="125">
        <f t="shared" si="21"/>
        <v>5073800.9948313534</v>
      </c>
      <c r="N40" s="125">
        <f t="shared" si="21"/>
        <v>5175277.0147279808</v>
      </c>
      <c r="O40" s="125">
        <f t="shared" si="21"/>
        <v>5278782.5550225405</v>
      </c>
      <c r="P40" s="142"/>
      <c r="Q40" s="142"/>
    </row>
    <row r="41" spans="2:17">
      <c r="B41" s="121" t="s">
        <v>124</v>
      </c>
      <c r="C41" s="139"/>
      <c r="D41" s="124">
        <f>INDEX(cockpit!$J$6:$X$16,MATCH($D32,cockpit!$J$6:$J$16,0),MATCH($B41,cockpit!$J$6:$X$6,0))</f>
        <v>6</v>
      </c>
      <c r="E41" s="126">
        <f t="shared" ref="E41:O41" si="22">-IF($D41&gt;1,E35*($D41*((1+Inflation)^(E$2-1))),E40*(1-$D41))</f>
        <v>0</v>
      </c>
      <c r="F41" s="126">
        <f t="shared" si="22"/>
        <v>0</v>
      </c>
      <c r="G41" s="126">
        <f t="shared" si="22"/>
        <v>0</v>
      </c>
      <c r="H41" s="126">
        <f t="shared" si="22"/>
        <v>0</v>
      </c>
      <c r="I41" s="126">
        <f t="shared" si="22"/>
        <v>0</v>
      </c>
      <c r="J41" s="126">
        <f t="shared" si="22"/>
        <v>-1250175.7623324017</v>
      </c>
      <c r="K41" s="126">
        <f t="shared" si="22"/>
        <v>-1275179.2775790498</v>
      </c>
      <c r="L41" s="126">
        <f t="shared" si="22"/>
        <v>-1300682.8631306307</v>
      </c>
      <c r="M41" s="126">
        <f t="shared" si="22"/>
        <v>-1326696.5203932431</v>
      </c>
      <c r="N41" s="126">
        <f t="shared" si="22"/>
        <v>-1353230.4508011083</v>
      </c>
      <c r="O41" s="126">
        <f t="shared" si="22"/>
        <v>-1380295.0598171302</v>
      </c>
      <c r="P41" s="142"/>
      <c r="Q41" s="142"/>
    </row>
    <row r="42" spans="2:17">
      <c r="B42" s="127" t="s">
        <v>168</v>
      </c>
      <c r="C42" s="139"/>
      <c r="E42" s="125">
        <f>SUM(E40:E41)</f>
        <v>0</v>
      </c>
      <c r="F42" s="125">
        <f t="shared" ref="F42" si="23">SUM(F40:F41)</f>
        <v>0</v>
      </c>
      <c r="G42" s="125">
        <f t="shared" ref="G42" si="24">SUM(G40:G41)</f>
        <v>0</v>
      </c>
      <c r="H42" s="125">
        <f t="shared" ref="H42" si="25">SUM(H40:H41)</f>
        <v>0</v>
      </c>
      <c r="I42" s="125">
        <f t="shared" ref="I42" si="26">SUM(I40:I41)</f>
        <v>0</v>
      </c>
      <c r="J42" s="125">
        <f t="shared" ref="J42" si="27">SUM(J40:J41)</f>
        <v>1140402.2369058975</v>
      </c>
      <c r="K42" s="125">
        <f t="shared" ref="K42" si="28">SUM(K40:K41)</f>
        <v>3601599.8408670807</v>
      </c>
      <c r="L42" s="125">
        <f t="shared" ref="L42" si="29">SUM(L40:L41)</f>
        <v>3673631.8376844227</v>
      </c>
      <c r="M42" s="125">
        <f t="shared" ref="M42" si="30">SUM(M40:M41)</f>
        <v>3747104.4744381104</v>
      </c>
      <c r="N42" s="125">
        <f t="shared" ref="N42" si="31">SUM(N40:N41)</f>
        <v>3822046.5639268728</v>
      </c>
      <c r="O42" s="125">
        <f t="shared" ref="O42" si="32">SUM(O40:O41)</f>
        <v>3898487.4952054103</v>
      </c>
      <c r="P42" s="142"/>
      <c r="Q42" s="142"/>
    </row>
    <row r="43" spans="2:17">
      <c r="C43" s="139"/>
      <c r="E43" s="217">
        <f t="shared" ref="E43:O43" si="33">IFERROR(E42/SUM(E39:E40),0)</f>
        <v>0</v>
      </c>
      <c r="F43" s="217">
        <f t="shared" si="33"/>
        <v>0</v>
      </c>
      <c r="G43" s="217">
        <f t="shared" si="33"/>
        <v>0</v>
      </c>
      <c r="H43" s="217">
        <f t="shared" si="33"/>
        <v>0</v>
      </c>
      <c r="I43" s="217">
        <f t="shared" si="33"/>
        <v>0</v>
      </c>
      <c r="J43" s="217">
        <f t="shared" si="33"/>
        <v>0.47704037988689746</v>
      </c>
      <c r="K43" s="217">
        <f t="shared" si="33"/>
        <v>0.7385201899434487</v>
      </c>
      <c r="L43" s="217">
        <f t="shared" si="33"/>
        <v>0.7385201899434487</v>
      </c>
      <c r="M43" s="217">
        <f t="shared" si="33"/>
        <v>0.7385201899434487</v>
      </c>
      <c r="N43" s="217">
        <f t="shared" si="33"/>
        <v>0.7385201899434487</v>
      </c>
      <c r="O43" s="217">
        <f t="shared" si="33"/>
        <v>0.7385201899434487</v>
      </c>
      <c r="P43" s="142"/>
      <c r="Q43" s="142"/>
    </row>
    <row r="44" spans="2:17">
      <c r="B44" s="121" t="s">
        <v>169</v>
      </c>
      <c r="C44" s="139"/>
      <c r="D44" s="128">
        <f>INDEX(cockpit!$J$6:$X$16,MATCH($D32,cockpit!$J$6:$J$16,0),MATCH($B44,cockpit!$J$6:$X$6,0))</f>
        <v>0.03</v>
      </c>
      <c r="E44" s="125">
        <f>-E36*$D44</f>
        <v>0</v>
      </c>
      <c r="F44" s="125">
        <f t="shared" ref="F44:O44" si="34">-F36*$D44</f>
        <v>0</v>
      </c>
      <c r="G44" s="125">
        <f t="shared" si="34"/>
        <v>0</v>
      </c>
      <c r="H44" s="125">
        <f t="shared" si="34"/>
        <v>0</v>
      </c>
      <c r="I44" s="125">
        <f t="shared" si="34"/>
        <v>0</v>
      </c>
      <c r="J44" s="125">
        <f t="shared" si="34"/>
        <v>-5197.3612189199985</v>
      </c>
      <c r="K44" s="125">
        <f t="shared" si="34"/>
        <v>-5197.3612189199985</v>
      </c>
      <c r="L44" s="125">
        <f t="shared" si="34"/>
        <v>-5197.3612189199985</v>
      </c>
      <c r="M44" s="125">
        <f t="shared" si="34"/>
        <v>-5197.3612189199985</v>
      </c>
      <c r="N44" s="125">
        <f t="shared" si="34"/>
        <v>-5197.3612189199985</v>
      </c>
      <c r="O44" s="125">
        <f t="shared" si="34"/>
        <v>-5197.3612189199985</v>
      </c>
      <c r="P44" s="142"/>
      <c r="Q44" s="142"/>
    </row>
    <row r="45" spans="2:17">
      <c r="B45" s="121" t="s">
        <v>163</v>
      </c>
      <c r="C45" s="139"/>
      <c r="D45" s="128">
        <f>INDEX(cockpit!$J$6:$X$16,MATCH($D32,cockpit!$J$6:$J$16,0),MATCH($B45,cockpit!$J$6:$X$6,0))</f>
        <v>2.5000000000000001E-2</v>
      </c>
      <c r="E45" s="126">
        <f>-E38*$D45</f>
        <v>0</v>
      </c>
      <c r="F45" s="126">
        <f t="shared" ref="F45:O45" si="35">-F38*$D45</f>
        <v>0</v>
      </c>
      <c r="G45" s="126">
        <f t="shared" si="35"/>
        <v>0</v>
      </c>
      <c r="H45" s="126">
        <f t="shared" si="35"/>
        <v>0</v>
      </c>
      <c r="I45" s="126">
        <f t="shared" si="35"/>
        <v>0</v>
      </c>
      <c r="J45" s="126">
        <f t="shared" si="35"/>
        <v>-2057.2888158224996</v>
      </c>
      <c r="K45" s="126">
        <f t="shared" si="35"/>
        <v>-4114.5776316449992</v>
      </c>
      <c r="L45" s="126">
        <f t="shared" si="35"/>
        <v>-4114.5776316449992</v>
      </c>
      <c r="M45" s="126">
        <f t="shared" si="35"/>
        <v>-4114.5776316449992</v>
      </c>
      <c r="N45" s="126">
        <f t="shared" si="35"/>
        <v>-4114.5776316449992</v>
      </c>
      <c r="O45" s="126">
        <f t="shared" si="35"/>
        <v>-4114.5776316449992</v>
      </c>
      <c r="P45" s="142"/>
      <c r="Q45" s="142"/>
    </row>
    <row r="46" spans="2:17">
      <c r="B46" s="127" t="s">
        <v>196</v>
      </c>
      <c r="C46" s="139"/>
      <c r="D46" s="128"/>
      <c r="E46" s="129">
        <f>SUM(E44:E45)</f>
        <v>0</v>
      </c>
      <c r="F46" s="129">
        <f t="shared" ref="F46" si="36">SUM(F44:F45)</f>
        <v>0</v>
      </c>
      <c r="G46" s="129">
        <f t="shared" ref="G46" si="37">SUM(G44:G45)</f>
        <v>0</v>
      </c>
      <c r="H46" s="129">
        <f t="shared" ref="H46" si="38">SUM(H44:H45)</f>
        <v>0</v>
      </c>
      <c r="I46" s="129">
        <f t="shared" ref="I46" si="39">SUM(I44:I45)</f>
        <v>0</v>
      </c>
      <c r="J46" s="129">
        <f t="shared" ref="J46" si="40">SUM(J44:J45)</f>
        <v>-7254.6500347424981</v>
      </c>
      <c r="K46" s="129">
        <f t="shared" ref="K46" si="41">SUM(K44:K45)</f>
        <v>-9311.9388505649986</v>
      </c>
      <c r="L46" s="129">
        <f t="shared" ref="L46" si="42">SUM(L44:L45)</f>
        <v>-9311.9388505649986</v>
      </c>
      <c r="M46" s="129">
        <f t="shared" ref="M46" si="43">SUM(M44:M45)</f>
        <v>-9311.9388505649986</v>
      </c>
      <c r="N46" s="129">
        <f t="shared" ref="N46" si="44">SUM(N44:N45)</f>
        <v>-9311.9388505649986</v>
      </c>
      <c r="O46" s="129">
        <f t="shared" ref="O46" si="45">SUM(O44:O45)</f>
        <v>-9311.9388505649986</v>
      </c>
      <c r="P46" s="142"/>
      <c r="Q46" s="142"/>
    </row>
    <row r="47" spans="2:17">
      <c r="B47" s="121"/>
      <c r="C47" s="139"/>
      <c r="P47" s="142"/>
      <c r="Q47" s="142"/>
    </row>
    <row r="48" spans="2:17">
      <c r="B48" s="121" t="s">
        <v>171</v>
      </c>
      <c r="C48" s="139"/>
      <c r="D48" s="124">
        <f>(ResidentialmarketrateconstructionPSF*(1-$K31))+((ResidentialmarketrateconstructionPSF*(1+premiumprices)*$K31))</f>
        <v>149.28528405637124</v>
      </c>
      <c r="E48" s="125">
        <f>-IF(OR(E$2=$H31,E$2=$H32,AND(E$2&gt;$H31,E$2&lt;$H32)),(INDEX(summary!$A$2:$D$24,MATCH($D32,summary!$A$2:$A$24,0),MATCH($D31,summary!$A$2:$D$2,0)))/Constructiontime)*($D48*((1+Inflation)^(E$2-1)))*(1+Developerfee)</f>
        <v>0</v>
      </c>
      <c r="F48" s="125">
        <f>-IF(OR(F$2=$H31,F$2=$H32,AND(F$2&gt;$H31,F$2&lt;$H32)),(INDEX(summary!$A$2:$D$24,MATCH($D32,summary!$A$2:$A$24,0),MATCH($D31,summary!$A$2:$D$2,0)))/Constructiontime)*($D48*((1+Inflation)^(F$2-1)))*(1+Developerfee)</f>
        <v>0</v>
      </c>
      <c r="G48" s="125">
        <f>-IF(OR(G$2=$H31,G$2=$H32,AND(G$2&gt;$H31,G$2&lt;$H32)),(INDEX(summary!$A$2:$D$24,MATCH($D32,summary!$A$2:$A$24,0),MATCH($D31,summary!$A$2:$D$2,0)))/Constructiontime)*($D48*((1+Inflation)^(G$2-1)))*(1+Developerfee)</f>
        <v>0</v>
      </c>
      <c r="H48" s="125">
        <f>-IF(OR(H$2=$H31,H$2=$H32,AND(H$2&gt;$H31,H$2&lt;$H32)),(INDEX(summary!$A$2:$D$24,MATCH($D32,summary!$A$2:$A$24,0),MATCH($D31,summary!$A$2:$D$2,0)))/Constructiontime)*($D48*((1+Inflation)^(H$2-1)))*(1+Developerfee)</f>
        <v>-17191126.038880117</v>
      </c>
      <c r="I48" s="125">
        <f>-IF(OR(I$2=$H31,I$2=$H32,AND(I$2&gt;$H31,I$2&lt;$H32)),(INDEX(summary!$A$2:$D$24,MATCH($D32,summary!$A$2:$A$24,0),MATCH($D31,summary!$A$2:$D$2,0)))/Constructiontime)*($D48*((1+Inflation)^(I$2-1)))*(1+Developerfee)</f>
        <v>-17534948.559657719</v>
      </c>
      <c r="J48" s="125">
        <f>-IF(OR(J$2=$H31,J$2=$H32,AND(J$2&gt;$H31,J$2&lt;$H32)),(INDEX(summary!$A$2:$D$24,MATCH($D32,summary!$A$2:$A$24,0),MATCH($D31,summary!$A$2:$D$2,0)))/Constructiontime)*($D48*((1+Inflation)^(J$2-1)))*(1+Developerfee)</f>
        <v>0</v>
      </c>
      <c r="K48" s="125">
        <f>-IF(OR(K$2=$H31,K$2=$H32,AND(K$2&gt;$H31,K$2&lt;$H32)),(INDEX(summary!$A$2:$D$24,MATCH($D32,summary!$A$2:$A$24,0),MATCH($D31,summary!$A$2:$D$2,0)))/Constructiontime)*($D48*((1+Inflation)^(K$2-1)))*(1+Developerfee)</f>
        <v>0</v>
      </c>
      <c r="L48" s="125">
        <f>-IF(OR(L$2=$H31,L$2=$H32,AND(L$2&gt;$H31,L$2&lt;$H32)),(INDEX(summary!$A$2:$D$24,MATCH($D32,summary!$A$2:$A$24,0),MATCH($D31,summary!$A$2:$D$2,0)))/Constructiontime)*($D48*((1+Inflation)^(L$2-1)))*(1+Developerfee)</f>
        <v>0</v>
      </c>
      <c r="M48" s="125">
        <f>-IF(OR(M$2=$H31,M$2=$H32,AND(M$2&gt;$H31,M$2&lt;$H32)),(INDEX(summary!$A$2:$D$24,MATCH($D32,summary!$A$2:$A$24,0),MATCH($D31,summary!$A$2:$D$2,0)))/Constructiontime)*($D48*((1+Inflation)^(M$2-1)))*(1+Developerfee)</f>
        <v>0</v>
      </c>
      <c r="N48" s="125">
        <f>-IF(OR(N$2=$H31,N$2=$H32,AND(N$2&gt;$H31,N$2&lt;$H32)),(INDEX(summary!$A$2:$D$24,MATCH($D32,summary!$A$2:$A$24,0),MATCH($D31,summary!$A$2:$D$2,0)))/Constructiontime)*($D48*((1+Inflation)^(N$2-1)))*(1+Developerfee)</f>
        <v>0</v>
      </c>
      <c r="O48" s="125">
        <f>-IF(OR(O$2=$H31,O$2=$H32,AND(O$2&gt;$H31,O$2&lt;$H32)),(INDEX(summary!$A$2:$D$24,MATCH($D32,summary!$A$2:$A$24,0),MATCH($D31,summary!$A$2:$D$2,0)))/Constructiontime)*($D48*((1+Inflation)^(O$2-1)))*(1+Developerfee)</f>
        <v>0</v>
      </c>
      <c r="P48" s="142"/>
      <c r="Q48" s="142"/>
    </row>
    <row r="49" spans="2:17">
      <c r="B49" s="121" t="s">
        <v>198</v>
      </c>
      <c r="C49" s="139" t="s">
        <v>190</v>
      </c>
      <c r="D49" s="138">
        <f>(INDEX(cockpit!$J$6:$X$16,MATCH($D32,cockpit!$J$6:$J$16,0),MATCH($C49,cockpit!$J$6:$X$6,0))*(1-$K31))+((INDEX(cockpit!$J$6:$X$16,MATCH($D32,cockpit!$J$6:$J$16,0),MATCH($C49,cockpit!$J$6:$X$6,0))-(Premiumexitcaprate))*$K31)</f>
        <v>6.4854577026597915E-2</v>
      </c>
      <c r="E49" s="126">
        <f t="shared" ref="E49:O49" si="46">IF(E$2=dispositionyear,E42/$D49,0)*(1-Closingcosts)</f>
        <v>0</v>
      </c>
      <c r="F49" s="126">
        <f t="shared" si="46"/>
        <v>0</v>
      </c>
      <c r="G49" s="126">
        <f t="shared" si="46"/>
        <v>0</v>
      </c>
      <c r="H49" s="126">
        <f t="shared" si="46"/>
        <v>0</v>
      </c>
      <c r="I49" s="126">
        <f t="shared" si="46"/>
        <v>0</v>
      </c>
      <c r="J49" s="126">
        <f t="shared" si="46"/>
        <v>0</v>
      </c>
      <c r="K49" s="126">
        <f t="shared" si="46"/>
        <v>0</v>
      </c>
      <c r="L49" s="126">
        <f t="shared" si="46"/>
        <v>0</v>
      </c>
      <c r="M49" s="126">
        <f t="shared" si="46"/>
        <v>0</v>
      </c>
      <c r="N49" s="126">
        <f t="shared" si="46"/>
        <v>0</v>
      </c>
      <c r="O49" s="126">
        <f t="shared" si="46"/>
        <v>58608435.704798639</v>
      </c>
      <c r="P49" s="142"/>
      <c r="Q49" s="142"/>
    </row>
    <row r="50" spans="2:17">
      <c r="B50" s="127" t="s">
        <v>197</v>
      </c>
      <c r="C50" s="139"/>
      <c r="D50" s="123"/>
      <c r="E50" s="129">
        <f>SUM(E48:E49)</f>
        <v>0</v>
      </c>
      <c r="F50" s="129">
        <f t="shared" ref="F50" si="47">SUM(F48:F49)</f>
        <v>0</v>
      </c>
      <c r="G50" s="129">
        <f t="shared" ref="G50" si="48">SUM(G48:G49)</f>
        <v>0</v>
      </c>
      <c r="H50" s="129">
        <f t="shared" ref="H50" si="49">SUM(H48:H49)</f>
        <v>-17191126.038880117</v>
      </c>
      <c r="I50" s="129">
        <f t="shared" ref="I50" si="50">SUM(I48:I49)</f>
        <v>-17534948.559657719</v>
      </c>
      <c r="J50" s="129">
        <f t="shared" ref="J50" si="51">SUM(J48:J49)</f>
        <v>0</v>
      </c>
      <c r="K50" s="129">
        <f t="shared" ref="K50" si="52">SUM(K48:K49)</f>
        <v>0</v>
      </c>
      <c r="L50" s="129">
        <f t="shared" ref="L50" si="53">SUM(L48:L49)</f>
        <v>0</v>
      </c>
      <c r="M50" s="129">
        <f t="shared" ref="M50" si="54">SUM(M48:M49)</f>
        <v>0</v>
      </c>
      <c r="N50" s="129">
        <f t="shared" ref="N50" si="55">SUM(N48:N49)</f>
        <v>0</v>
      </c>
      <c r="O50" s="129">
        <f t="shared" ref="O50" si="56">SUM(O48:O49)</f>
        <v>58608435.704798639</v>
      </c>
      <c r="P50" s="142"/>
      <c r="Q50" s="142"/>
    </row>
    <row r="51" spans="2:17">
      <c r="B51" s="121"/>
      <c r="C51" s="139"/>
      <c r="D51" s="123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42"/>
      <c r="Q51" s="142"/>
    </row>
    <row r="52" spans="2:17">
      <c r="B52" s="127" t="s">
        <v>170</v>
      </c>
      <c r="C52" s="127"/>
      <c r="D52" s="130">
        <f ca="1">IRR(OFFSET(E52,0,0,1,Investmenthorizon+1))</f>
        <v>0.14923888783776551</v>
      </c>
      <c r="E52" s="131">
        <f>SUM(E42,E46,E50)</f>
        <v>0</v>
      </c>
      <c r="F52" s="131">
        <f t="shared" ref="F52:O52" si="57">SUM(F42,F46,F50)</f>
        <v>0</v>
      </c>
      <c r="G52" s="131">
        <f t="shared" si="57"/>
        <v>0</v>
      </c>
      <c r="H52" s="131">
        <f t="shared" si="57"/>
        <v>-17191126.038880117</v>
      </c>
      <c r="I52" s="131">
        <f t="shared" si="57"/>
        <v>-17534948.559657719</v>
      </c>
      <c r="J52" s="131">
        <f t="shared" si="57"/>
        <v>1133147.5868711551</v>
      </c>
      <c r="K52" s="131">
        <f t="shared" si="57"/>
        <v>3592287.9020165158</v>
      </c>
      <c r="L52" s="131">
        <f t="shared" si="57"/>
        <v>3664319.8988338578</v>
      </c>
      <c r="M52" s="131">
        <f t="shared" si="57"/>
        <v>3737792.5355875455</v>
      </c>
      <c r="N52" s="131">
        <f t="shared" si="57"/>
        <v>3812734.6250763079</v>
      </c>
      <c r="O52" s="131">
        <f t="shared" si="57"/>
        <v>62497611.261153482</v>
      </c>
      <c r="P52" s="142"/>
      <c r="Q52" s="142"/>
    </row>
    <row r="53" spans="2:17" ht="9.3000000000000007" thickBot="1">
      <c r="B53" s="142"/>
      <c r="C53" s="143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</row>
    <row r="54" spans="2:17">
      <c r="B54" s="144" t="s">
        <v>199</v>
      </c>
      <c r="C54" s="145"/>
      <c r="D54" s="145"/>
      <c r="E54" s="156"/>
      <c r="F54" s="157"/>
      <c r="G54" s="157"/>
      <c r="H54" s="157"/>
      <c r="I54" s="157"/>
      <c r="J54" s="157"/>
      <c r="K54" s="146"/>
      <c r="L54" s="119"/>
      <c r="M54" s="119"/>
      <c r="N54" s="119"/>
      <c r="O54" s="119"/>
      <c r="P54" s="142"/>
      <c r="Q54" s="142"/>
    </row>
    <row r="55" spans="2:17">
      <c r="B55" s="147" t="s">
        <v>89</v>
      </c>
      <c r="C55" s="142"/>
      <c r="D55" s="155">
        <f>Phase3</f>
        <v>3</v>
      </c>
      <c r="E55" s="140"/>
      <c r="F55" s="140"/>
      <c r="G55" s="141" t="s">
        <v>205</v>
      </c>
      <c r="H55" s="161">
        <f>Phase3begin</f>
        <v>5</v>
      </c>
      <c r="I55" s="140"/>
      <c r="J55" s="141" t="s">
        <v>202</v>
      </c>
      <c r="K55" s="158">
        <f>summary!AJ12</f>
        <v>0</v>
      </c>
    </row>
    <row r="56" spans="2:17">
      <c r="B56" s="147" t="s">
        <v>94</v>
      </c>
      <c r="C56" s="142"/>
      <c r="D56" s="152" t="s">
        <v>165</v>
      </c>
      <c r="E56" s="140"/>
      <c r="F56" s="140"/>
      <c r="G56" s="141" t="s">
        <v>206</v>
      </c>
      <c r="H56" s="161">
        <f>Phase3end</f>
        <v>6</v>
      </c>
      <c r="I56" s="140"/>
      <c r="J56" s="140"/>
      <c r="K56" s="148"/>
    </row>
    <row r="57" spans="2:17" ht="9.3000000000000007" thickBot="1">
      <c r="B57" s="159"/>
      <c r="C57" s="160"/>
      <c r="D57" s="160"/>
      <c r="E57" s="160"/>
      <c r="F57" s="160"/>
      <c r="G57" s="150" t="s">
        <v>200</v>
      </c>
      <c r="H57" s="153">
        <f>Phase3open</f>
        <v>7</v>
      </c>
      <c r="I57" s="160"/>
      <c r="J57" s="160"/>
      <c r="K57" s="149"/>
    </row>
    <row r="58" spans="2:17">
      <c r="C58" s="136"/>
      <c r="D58" s="120"/>
    </row>
    <row r="59" spans="2:17">
      <c r="B59" s="121" t="s">
        <v>183</v>
      </c>
      <c r="C59" s="121"/>
      <c r="E59" s="122">
        <f>IF(OR(E$2=$H57,E$2&gt;$H57),INDEX(summary!$A$2:$D$24,MATCH($D56,summary!$A$2:$A$24,0),MATCH($D55,summary!$A$2:$D$2,0)),0)</f>
        <v>0</v>
      </c>
      <c r="F59" s="122">
        <f>IF(OR(F$2=$H57,F$2&gt;$H57),INDEX(summary!$A$2:$D$24,MATCH($D56,summary!$A$2:$A$24,0),MATCH($D55,summary!$A$2:$D$2,0)),0)</f>
        <v>0</v>
      </c>
      <c r="G59" s="122">
        <f>IF(OR(G$2=$H57,G$2&gt;$H57),INDEX(summary!$A$2:$D$24,MATCH($D56,summary!$A$2:$A$24,0),MATCH($D55,summary!$A$2:$D$2,0)),0)</f>
        <v>0</v>
      </c>
      <c r="H59" s="122">
        <f>IF(OR(H$2=$H57,H$2&gt;$H57),INDEX(summary!$A$2:$D$24,MATCH($D56,summary!$A$2:$A$24,0),MATCH($D55,summary!$A$2:$D$2,0)),0)</f>
        <v>0</v>
      </c>
      <c r="I59" s="122">
        <f>IF(OR(I$2=$H57,I$2&gt;$H57),INDEX(summary!$A$2:$D$24,MATCH($D56,summary!$A$2:$A$24,0),MATCH($D55,summary!$A$2:$D$2,0)),0)</f>
        <v>0</v>
      </c>
      <c r="J59" s="122">
        <f>IF(OR(J$2=$H57,J$2&gt;$H57),INDEX(summary!$A$2:$D$24,MATCH($D56,summary!$A$2:$A$24,0),MATCH($D55,summary!$A$2:$D$2,0)),0)</f>
        <v>0</v>
      </c>
      <c r="K59" s="122">
        <f>IF(OR(K$2=$H57,K$2&gt;$H57),INDEX(summary!$A$2:$D$24,MATCH($D56,summary!$A$2:$A$24,0),MATCH($D55,summary!$A$2:$D$2,0)),0)</f>
        <v>0</v>
      </c>
      <c r="L59" s="122">
        <f>IF(OR(L$2=$H57,L$2&gt;$H57),INDEX(summary!$A$2:$D$24,MATCH($D56,summary!$A$2:$A$24,0),MATCH($D55,summary!$A$2:$D$2,0)),0)</f>
        <v>214524.21095500002</v>
      </c>
      <c r="M59" s="122">
        <f>IF(OR(M$2=$H57,M$2&gt;$H57),INDEX(summary!$A$2:$D$24,MATCH($D56,summary!$A$2:$A$24,0),MATCH($D55,summary!$A$2:$D$2,0)),0)</f>
        <v>214524.21095500002</v>
      </c>
      <c r="N59" s="122">
        <f>IF(OR(N$2=$H57,N$2&gt;$H57),INDEX(summary!$A$2:$D$24,MATCH($D56,summary!$A$2:$A$24,0),MATCH($D55,summary!$A$2:$D$2,0)),0)</f>
        <v>214524.21095500002</v>
      </c>
      <c r="O59" s="122">
        <f>IF(OR(O$2=$H57,O$2&gt;$H57),INDEX(summary!$A$2:$D$24,MATCH($D56,summary!$A$2:$A$24,0),MATCH($D55,summary!$A$2:$D$2,0)),0)</f>
        <v>214524.21095500002</v>
      </c>
    </row>
    <row r="60" spans="2:17">
      <c r="B60" s="121" t="s">
        <v>195</v>
      </c>
      <c r="C60" s="137" t="s">
        <v>192</v>
      </c>
      <c r="D60" s="123">
        <f>INDEX(cockpit!$J$6:$X$16,MATCH($D56,cockpit!$J$6:$J$16,0),MATCH($C$10,cockpit!$J$6:$X$6,0))</f>
        <v>0.1</v>
      </c>
      <c r="E60" s="122">
        <f>E59*(1-$D60)</f>
        <v>0</v>
      </c>
      <c r="F60" s="122">
        <f t="shared" ref="F60" si="58">F59*(1-$D60)</f>
        <v>0</v>
      </c>
      <c r="G60" s="122">
        <f t="shared" ref="G60" si="59">G59*(1-$D60)</f>
        <v>0</v>
      </c>
      <c r="H60" s="122">
        <f t="shared" ref="H60" si="60">H59*(1-$D60)</f>
        <v>0</v>
      </c>
      <c r="I60" s="122">
        <f t="shared" ref="I60" si="61">I59*(1-$D60)</f>
        <v>0</v>
      </c>
      <c r="J60" s="122">
        <f t="shared" ref="J60" si="62">J59*(1-$D60)</f>
        <v>0</v>
      </c>
      <c r="K60" s="122">
        <f t="shared" ref="K60" si="63">K59*(1-$D60)</f>
        <v>0</v>
      </c>
      <c r="L60" s="122">
        <f t="shared" ref="L60" si="64">L59*(1-$D60)</f>
        <v>193071.78985950002</v>
      </c>
      <c r="M60" s="122">
        <f t="shared" ref="M60" si="65">M59*(1-$D60)</f>
        <v>193071.78985950002</v>
      </c>
      <c r="N60" s="122">
        <f t="shared" ref="N60" si="66">N59*(1-$D60)</f>
        <v>193071.78985950002</v>
      </c>
      <c r="O60" s="122">
        <f t="shared" ref="O60" si="67">O59*(1-$D60)</f>
        <v>193071.78985950002</v>
      </c>
    </row>
    <row r="61" spans="2:17">
      <c r="B61" s="121" t="s">
        <v>181</v>
      </c>
      <c r="C61" s="137" t="s">
        <v>153</v>
      </c>
      <c r="D61" s="138">
        <f>Residentialmarketraterampup</f>
        <v>0.47499999999999998</v>
      </c>
      <c r="E61" s="122">
        <f>IF(OR(E$2=$H57,AND(E$2&gt;$H57,E$2&lt;(SUM($H57,INDEX(cockpit!$J$6:$X$16,MATCH($D56,cockpit!$J$6:$J$16,0),MATCH($C$11,cockpit!$J$6:$X$6,0)))))),E60*$D61,0)</f>
        <v>0</v>
      </c>
      <c r="F61" s="122">
        <f>IF(OR(F$2=$H57,AND(F$2&gt;$H57,F$2&lt;(SUM($H57,INDEX(cockpit!$J$6:$X$16,MATCH($D56,cockpit!$J$6:$J$16,0),MATCH($C$11,cockpit!$J$6:$X$6,0)))))),F60*$D61,0)</f>
        <v>0</v>
      </c>
      <c r="G61" s="122">
        <f>IF(OR(G$2=$H57,AND(G$2&gt;$H57,G$2&lt;(SUM($H57,INDEX(cockpit!$J$6:$X$16,MATCH($D56,cockpit!$J$6:$J$16,0),MATCH($C$11,cockpit!$J$6:$X$6,0)))))),G60*$D61,0)</f>
        <v>0</v>
      </c>
      <c r="H61" s="122">
        <f>IF(OR(H$2=$H57,AND(H$2&gt;$H57,H$2&lt;(SUM($H57,INDEX(cockpit!$J$6:$X$16,MATCH($D56,cockpit!$J$6:$J$16,0),MATCH($C$11,cockpit!$J$6:$X$6,0)))))),H60*$D61,0)</f>
        <v>0</v>
      </c>
      <c r="I61" s="122">
        <f>IF(OR(I$2=$H57,AND(I$2&gt;$H57,I$2&lt;(SUM($H57,INDEX(cockpit!$J$6:$X$16,MATCH($D56,cockpit!$J$6:$J$16,0),MATCH($C$11,cockpit!$J$6:$X$6,0)))))),I60*$D61,0)</f>
        <v>0</v>
      </c>
      <c r="J61" s="122">
        <f>IF(OR(J$2=$H57,AND(J$2&gt;$H57,J$2&lt;(SUM($H57,INDEX(cockpit!$J$6:$X$16,MATCH($D56,cockpit!$J$6:$J$16,0),MATCH($C$11,cockpit!$J$6:$X$6,0)))))),J60*$D61,0)</f>
        <v>0</v>
      </c>
      <c r="K61" s="122">
        <f>IF(OR(K$2=$H57,AND(K$2&gt;$H57,K$2&lt;(SUM($H57,INDEX(cockpit!$J$6:$X$16,MATCH($D56,cockpit!$J$6:$J$16,0),MATCH($C$11,cockpit!$J$6:$X$6,0)))))),K60*$D61,0)</f>
        <v>0</v>
      </c>
      <c r="L61" s="122">
        <f>IF(OR(L$2=$H57,AND(L$2&gt;$H57,L$2&lt;(SUM($H57,INDEX(cockpit!$J$6:$X$16,MATCH($D56,cockpit!$J$6:$J$16,0),MATCH($C$11,cockpit!$J$6:$X$6,0)))))),L60*$D61,0)</f>
        <v>91709.100183262504</v>
      </c>
      <c r="M61" s="122">
        <f>IF(OR(M$2=$H57,AND(M$2&gt;$H57,M$2&lt;(SUM($H57,INDEX(cockpit!$J$6:$X$16,MATCH($D56,cockpit!$J$6:$J$16,0),MATCH($C$11,cockpit!$J$6:$X$6,0)))))),M60*$D61,0)</f>
        <v>91709.100183262504</v>
      </c>
      <c r="N61" s="122">
        <f>IF(OR(N$2=$H57,AND(N$2&gt;$H57,N$2&lt;(SUM($H57,INDEX(cockpit!$J$6:$X$16,MATCH($D56,cockpit!$J$6:$J$16,0),MATCH($C$11,cockpit!$J$6:$X$6,0)))))),N60*$D61,0)</f>
        <v>0</v>
      </c>
      <c r="O61" s="122">
        <f>IF(OR(O$2=$H57,AND(O$2&gt;$H57,O$2&lt;(SUM($H57,INDEX(cockpit!$J$6:$X$16,MATCH($D56,cockpit!$J$6:$J$16,0),MATCH($C$11,cockpit!$J$6:$X$6,0)))))),O60*$D61,0)</f>
        <v>0</v>
      </c>
    </row>
    <row r="62" spans="2:17">
      <c r="B62" s="121" t="s">
        <v>182</v>
      </c>
      <c r="C62" s="139"/>
      <c r="E62" s="122">
        <f>SUM($E61:E61)</f>
        <v>0</v>
      </c>
      <c r="F62" s="122">
        <f>SUM($E61:F61)</f>
        <v>0</v>
      </c>
      <c r="G62" s="122">
        <f>SUM($E61:G61)</f>
        <v>0</v>
      </c>
      <c r="H62" s="122">
        <f>SUM($E61:H61)</f>
        <v>0</v>
      </c>
      <c r="I62" s="122">
        <f>SUM($E61:I61)</f>
        <v>0</v>
      </c>
      <c r="J62" s="122">
        <f>SUM($E61:J61)</f>
        <v>0</v>
      </c>
      <c r="K62" s="122">
        <f>SUM($E61:K61)</f>
        <v>0</v>
      </c>
      <c r="L62" s="122">
        <f>SUM($E61:L61)</f>
        <v>91709.100183262504</v>
      </c>
      <c r="M62" s="122">
        <f>SUM($E61:M61)</f>
        <v>183418.20036652501</v>
      </c>
      <c r="N62" s="122">
        <f>SUM($E61:N61)</f>
        <v>183418.20036652501</v>
      </c>
      <c r="O62" s="122">
        <f>SUM($E61:O61)</f>
        <v>183418.20036652501</v>
      </c>
    </row>
    <row r="63" spans="2:17">
      <c r="C63" s="139"/>
    </row>
    <row r="64" spans="2:17">
      <c r="B64" s="121" t="s">
        <v>167</v>
      </c>
      <c r="C64" s="139"/>
      <c r="D64" s="124">
        <f>(ResidentialmarketratePSFrate*(1-$K55))+((ResidentialmarketratePSFrate*(1+premiumprices)*$K55))</f>
        <v>2.0224719101123596</v>
      </c>
      <c r="E64" s="125">
        <f t="shared" ref="E64:O64" si="68">E62*($D64*((1+Inflation)^(E$2-1)))*12</f>
        <v>0</v>
      </c>
      <c r="F64" s="125">
        <f t="shared" si="68"/>
        <v>0</v>
      </c>
      <c r="G64" s="125">
        <f t="shared" si="68"/>
        <v>0</v>
      </c>
      <c r="H64" s="125">
        <f t="shared" si="68"/>
        <v>0</v>
      </c>
      <c r="I64" s="125">
        <f t="shared" si="68"/>
        <v>0</v>
      </c>
      <c r="J64" s="125">
        <f t="shared" si="68"/>
        <v>0</v>
      </c>
      <c r="K64" s="125">
        <f t="shared" si="68"/>
        <v>0</v>
      </c>
      <c r="L64" s="125">
        <f t="shared" si="68"/>
        <v>2506554.8202557312</v>
      </c>
      <c r="M64" s="125">
        <f t="shared" si="68"/>
        <v>5113371.8333216906</v>
      </c>
      <c r="N64" s="125">
        <f t="shared" si="68"/>
        <v>5215639.2699881252</v>
      </c>
      <c r="O64" s="125">
        <f t="shared" si="68"/>
        <v>5319952.0553878881</v>
      </c>
    </row>
    <row r="65" spans="2:15">
      <c r="B65" s="121" t="s">
        <v>124</v>
      </c>
      <c r="C65" s="139"/>
      <c r="D65" s="124">
        <f>INDEX(cockpit!$J$6:$X$16,MATCH($D56,cockpit!$J$6:$J$16,0),MATCH($B65,cockpit!$J$6:$X$6,0))</f>
        <v>6</v>
      </c>
      <c r="E65" s="126">
        <f t="shared" ref="E65:O65" si="69">-IF($D65&gt;1,E59*($D65*((1+Inflation)^(E$2-1))),E64*(1-$D65))</f>
        <v>0</v>
      </c>
      <c r="F65" s="126">
        <f t="shared" si="69"/>
        <v>0</v>
      </c>
      <c r="G65" s="126">
        <f t="shared" si="69"/>
        <v>0</v>
      </c>
      <c r="H65" s="126">
        <f t="shared" si="69"/>
        <v>0</v>
      </c>
      <c r="I65" s="126">
        <f t="shared" si="69"/>
        <v>0</v>
      </c>
      <c r="J65" s="126">
        <f t="shared" si="69"/>
        <v>0</v>
      </c>
      <c r="K65" s="126">
        <f t="shared" si="69"/>
        <v>0</v>
      </c>
      <c r="L65" s="126">
        <f t="shared" si="69"/>
        <v>-1449534.626398701</v>
      </c>
      <c r="M65" s="126">
        <f t="shared" si="69"/>
        <v>-1478525.3189266748</v>
      </c>
      <c r="N65" s="126">
        <f t="shared" si="69"/>
        <v>-1508095.8253052086</v>
      </c>
      <c r="O65" s="126">
        <f t="shared" si="69"/>
        <v>-1538257.7418113127</v>
      </c>
    </row>
    <row r="66" spans="2:15">
      <c r="B66" s="127" t="s">
        <v>168</v>
      </c>
      <c r="C66" s="139"/>
      <c r="E66" s="125">
        <f>SUM(E64:E65)</f>
        <v>0</v>
      </c>
      <c r="F66" s="125">
        <f t="shared" ref="F66" si="70">SUM(F64:F65)</f>
        <v>0</v>
      </c>
      <c r="G66" s="125">
        <f t="shared" ref="G66" si="71">SUM(G64:G65)</f>
        <v>0</v>
      </c>
      <c r="H66" s="125">
        <f t="shared" ref="H66" si="72">SUM(H64:H65)</f>
        <v>0</v>
      </c>
      <c r="I66" s="125">
        <f t="shared" ref="I66" si="73">SUM(I64:I65)</f>
        <v>0</v>
      </c>
      <c r="J66" s="125">
        <f t="shared" ref="J66" si="74">SUM(J64:J65)</f>
        <v>0</v>
      </c>
      <c r="K66" s="125">
        <f t="shared" ref="K66" si="75">SUM(K64:K65)</f>
        <v>0</v>
      </c>
      <c r="L66" s="125">
        <f t="shared" ref="L66" si="76">SUM(L64:L65)</f>
        <v>1057020.1938570302</v>
      </c>
      <c r="M66" s="125">
        <f t="shared" ref="M66" si="77">SUM(M64:M65)</f>
        <v>3634846.5143950158</v>
      </c>
      <c r="N66" s="125">
        <f t="shared" ref="N66" si="78">SUM(N64:N65)</f>
        <v>3707543.4446829166</v>
      </c>
      <c r="O66" s="125">
        <f t="shared" ref="O66" si="79">SUM(O64:O65)</f>
        <v>3781694.3135765754</v>
      </c>
    </row>
    <row r="67" spans="2:15">
      <c r="C67" s="139"/>
      <c r="E67" s="217">
        <f t="shared" ref="E67:O67" si="80">IFERROR(E66/SUM(E63:E64),0)</f>
        <v>0</v>
      </c>
      <c r="F67" s="217">
        <f t="shared" si="80"/>
        <v>0</v>
      </c>
      <c r="G67" s="217">
        <f t="shared" si="80"/>
        <v>0</v>
      </c>
      <c r="H67" s="217">
        <f t="shared" si="80"/>
        <v>0</v>
      </c>
      <c r="I67" s="217">
        <f t="shared" si="80"/>
        <v>0</v>
      </c>
      <c r="J67" s="217">
        <f t="shared" si="80"/>
        <v>0</v>
      </c>
      <c r="K67" s="217">
        <f t="shared" si="80"/>
        <v>0</v>
      </c>
      <c r="L67" s="217">
        <f t="shared" si="80"/>
        <v>0.42170240415854449</v>
      </c>
      <c r="M67" s="217">
        <f t="shared" si="80"/>
        <v>0.71085120207927222</v>
      </c>
      <c r="N67" s="217">
        <f t="shared" si="80"/>
        <v>0.71085120207927222</v>
      </c>
      <c r="O67" s="217">
        <f t="shared" si="80"/>
        <v>0.71085120207927222</v>
      </c>
    </row>
    <row r="68" spans="2:15">
      <c r="B68" s="121" t="s">
        <v>169</v>
      </c>
      <c r="C68" s="139"/>
      <c r="D68" s="128">
        <f>INDEX(cockpit!$J$6:$X$16,MATCH($D56,cockpit!$J$6:$J$16,0),MATCH($B68,cockpit!$J$6:$X$6,0))</f>
        <v>0.03</v>
      </c>
      <c r="E68" s="125">
        <f>-E60*$D68</f>
        <v>0</v>
      </c>
      <c r="F68" s="125">
        <f t="shared" ref="F68:O68" si="81">-F60*$D68</f>
        <v>0</v>
      </c>
      <c r="G68" s="125">
        <f t="shared" si="81"/>
        <v>0</v>
      </c>
      <c r="H68" s="125">
        <f t="shared" si="81"/>
        <v>0</v>
      </c>
      <c r="I68" s="125">
        <f t="shared" si="81"/>
        <v>0</v>
      </c>
      <c r="J68" s="125">
        <f t="shared" si="81"/>
        <v>0</v>
      </c>
      <c r="K68" s="125">
        <f t="shared" si="81"/>
        <v>0</v>
      </c>
      <c r="L68" s="125">
        <f t="shared" si="81"/>
        <v>-5792.1536957850003</v>
      </c>
      <c r="M68" s="125">
        <f t="shared" si="81"/>
        <v>-5792.1536957850003</v>
      </c>
      <c r="N68" s="125">
        <f t="shared" si="81"/>
        <v>-5792.1536957850003</v>
      </c>
      <c r="O68" s="125">
        <f t="shared" si="81"/>
        <v>-5792.1536957850003</v>
      </c>
    </row>
    <row r="69" spans="2:15">
      <c r="B69" s="121" t="s">
        <v>163</v>
      </c>
      <c r="C69" s="139"/>
      <c r="D69" s="128">
        <f>INDEX(cockpit!$J$6:$X$16,MATCH($D56,cockpit!$J$6:$J$16,0),MATCH($B69,cockpit!$J$6:$X$6,0))</f>
        <v>2.5000000000000001E-2</v>
      </c>
      <c r="E69" s="126">
        <f>-E62*$D69</f>
        <v>0</v>
      </c>
      <c r="F69" s="126">
        <f t="shared" ref="F69:O69" si="82">-F62*$D69</f>
        <v>0</v>
      </c>
      <c r="G69" s="126">
        <f t="shared" si="82"/>
        <v>0</v>
      </c>
      <c r="H69" s="126">
        <f t="shared" si="82"/>
        <v>0</v>
      </c>
      <c r="I69" s="126">
        <f t="shared" si="82"/>
        <v>0</v>
      </c>
      <c r="J69" s="126">
        <f t="shared" si="82"/>
        <v>0</v>
      </c>
      <c r="K69" s="126">
        <f t="shared" si="82"/>
        <v>0</v>
      </c>
      <c r="L69" s="126">
        <f t="shared" si="82"/>
        <v>-2292.7275045815627</v>
      </c>
      <c r="M69" s="126">
        <f t="shared" si="82"/>
        <v>-4585.4550091631254</v>
      </c>
      <c r="N69" s="126">
        <f t="shared" si="82"/>
        <v>-4585.4550091631254</v>
      </c>
      <c r="O69" s="126">
        <f t="shared" si="82"/>
        <v>-4585.4550091631254</v>
      </c>
    </row>
    <row r="70" spans="2:15">
      <c r="B70" s="127" t="s">
        <v>196</v>
      </c>
      <c r="C70" s="139"/>
      <c r="D70" s="128"/>
      <c r="E70" s="129">
        <f>SUM(E68:E69)</f>
        <v>0</v>
      </c>
      <c r="F70" s="129">
        <f t="shared" ref="F70" si="83">SUM(F68:F69)</f>
        <v>0</v>
      </c>
      <c r="G70" s="129">
        <f t="shared" ref="G70" si="84">SUM(G68:G69)</f>
        <v>0</v>
      </c>
      <c r="H70" s="129">
        <f t="shared" ref="H70" si="85">SUM(H68:H69)</f>
        <v>0</v>
      </c>
      <c r="I70" s="129">
        <f t="shared" ref="I70" si="86">SUM(I68:I69)</f>
        <v>0</v>
      </c>
      <c r="J70" s="129">
        <f t="shared" ref="J70" si="87">SUM(J68:J69)</f>
        <v>0</v>
      </c>
      <c r="K70" s="129">
        <f t="shared" ref="K70" si="88">SUM(K68:K69)</f>
        <v>0</v>
      </c>
      <c r="L70" s="129">
        <f t="shared" ref="L70" si="89">SUM(L68:L69)</f>
        <v>-8084.8812003665626</v>
      </c>
      <c r="M70" s="129">
        <f t="shared" ref="M70" si="90">SUM(M68:M69)</f>
        <v>-10377.608704948125</v>
      </c>
      <c r="N70" s="129">
        <f t="shared" ref="N70" si="91">SUM(N68:N69)</f>
        <v>-10377.608704948125</v>
      </c>
      <c r="O70" s="129">
        <f t="shared" ref="O70" si="92">SUM(O68:O69)</f>
        <v>-10377.608704948125</v>
      </c>
    </row>
    <row r="71" spans="2:15">
      <c r="B71" s="121"/>
      <c r="C71" s="139"/>
    </row>
    <row r="72" spans="2:15">
      <c r="B72" s="121" t="s">
        <v>171</v>
      </c>
      <c r="C72" s="139"/>
      <c r="D72" s="124">
        <f>(ResidentialmarketrateconstructionPSF*(1-$K55))+((ResidentialmarketrateconstructionPSF*(1+premiumprices)*$K55))</f>
        <v>135</v>
      </c>
      <c r="E72" s="125">
        <f>-IF(OR(E$2=$H55,E$2=$H56,AND(E$2&gt;$H55,E$2&lt;$H56)),(INDEX(summary!$A$2:$D$24,MATCH($D56,summary!$A$2:$A$24,0),MATCH($D55,summary!$A$2:$D$2,0)))/Constructiontime)*($D72*((1+Inflation)^(E$2-1)))*(1+Developerfee)</f>
        <v>0</v>
      </c>
      <c r="F72" s="125">
        <f>-IF(OR(F$2=$H55,F$2=$H56,AND(F$2&gt;$H55,F$2&lt;$H56)),(INDEX(summary!$A$2:$D$24,MATCH($D56,summary!$A$2:$A$24,0),MATCH($D55,summary!$A$2:$D$2,0)))/Constructiontime)*($D72*((1+Inflation)^(F$2-1)))*(1+Developerfee)</f>
        <v>0</v>
      </c>
      <c r="G72" s="125">
        <f>-IF(OR(G$2=$H55,G$2=$H56,AND(G$2&gt;$H55,G$2&lt;$H56)),(INDEX(summary!$A$2:$D$24,MATCH($D56,summary!$A$2:$A$24,0),MATCH($D55,summary!$A$2:$D$2,0)))/Constructiontime)*($D72*((1+Inflation)^(G$2-1)))*(1+Developerfee)</f>
        <v>0</v>
      </c>
      <c r="H72" s="125">
        <f>-IF(OR(H$2=$H55,H$2=$H56,AND(H$2&gt;$H55,H$2&lt;$H56)),(INDEX(summary!$A$2:$D$24,MATCH($D56,summary!$A$2:$A$24,0),MATCH($D55,summary!$A$2:$D$2,0)))/Constructiontime)*($D72*((1+Inflation)^(H$2-1)))*(1+Developerfee)</f>
        <v>0</v>
      </c>
      <c r="I72" s="125">
        <f>-IF(OR(I$2=$H55,I$2=$H56,AND(I$2&gt;$H55,I$2&lt;$H56)),(INDEX(summary!$A$2:$D$24,MATCH($D56,summary!$A$2:$A$24,0),MATCH($D55,summary!$A$2:$D$2,0)))/Constructiontime)*($D72*((1+Inflation)^(I$2-1)))*(1+Developerfee)</f>
        <v>0</v>
      </c>
      <c r="J72" s="125">
        <f>-IF(OR(J$2=$H55,J$2=$H56,AND(J$2&gt;$H55,J$2&lt;$H56)),(INDEX(summary!$A$2:$D$24,MATCH($D56,summary!$A$2:$A$24,0),MATCH($D55,summary!$A$2:$D$2,0)))/Constructiontime)*($D72*((1+Inflation)^(J$2-1)))*(1+Developerfee)</f>
        <v>-18025138.628444053</v>
      </c>
      <c r="K72" s="125">
        <f>-IF(OR(K$2=$H55,K$2=$H56,AND(K$2&gt;$H55,K$2&lt;$H56)),(INDEX(summary!$A$2:$D$24,MATCH($D56,summary!$A$2:$A$24,0),MATCH($D55,summary!$A$2:$D$2,0)))/Constructiontime)*($D72*((1+Inflation)^(K$2-1)))*(1+Developerfee)</f>
        <v>-18385641.401012935</v>
      </c>
      <c r="L72" s="125">
        <f>-IF(OR(L$2=$H55,L$2=$H56,AND(L$2&gt;$H55,L$2&lt;$H56)),(INDEX(summary!$A$2:$D$24,MATCH($D56,summary!$A$2:$A$24,0),MATCH($D55,summary!$A$2:$D$2,0)))/Constructiontime)*($D72*((1+Inflation)^(L$2-1)))*(1+Developerfee)</f>
        <v>0</v>
      </c>
      <c r="M72" s="125">
        <f>-IF(OR(M$2=$H55,M$2=$H56,AND(M$2&gt;$H55,M$2&lt;$H56)),(INDEX(summary!$A$2:$D$24,MATCH($D56,summary!$A$2:$A$24,0),MATCH($D55,summary!$A$2:$D$2,0)))/Constructiontime)*($D72*((1+Inflation)^(M$2-1)))*(1+Developerfee)</f>
        <v>0</v>
      </c>
      <c r="N72" s="125">
        <f>-IF(OR(N$2=$H55,N$2=$H56,AND(N$2&gt;$H55,N$2&lt;$H56)),(INDEX(summary!$A$2:$D$24,MATCH($D56,summary!$A$2:$A$24,0),MATCH($D55,summary!$A$2:$D$2,0)))/Constructiontime)*($D72*((1+Inflation)^(N$2-1)))*(1+Developerfee)</f>
        <v>0</v>
      </c>
      <c r="O72" s="125">
        <f>-IF(OR(O$2=$H55,O$2=$H56,AND(O$2&gt;$H55,O$2&lt;$H56)),(INDEX(summary!$A$2:$D$24,MATCH($D56,summary!$A$2:$A$24,0),MATCH($D55,summary!$A$2:$D$2,0)))/Constructiontime)*($D72*((1+Inflation)^(O$2-1)))*(1+Developerfee)</f>
        <v>0</v>
      </c>
    </row>
    <row r="73" spans="2:15">
      <c r="B73" s="121" t="s">
        <v>198</v>
      </c>
      <c r="C73" s="139" t="s">
        <v>190</v>
      </c>
      <c r="D73" s="138">
        <f>(INDEX(cockpit!$J$6:$X$16,MATCH($D56,cockpit!$J$6:$J$16,0),MATCH($C73,cockpit!$J$6:$X$6,0))*(1-$K55))+((INDEX(cockpit!$J$6:$X$16,MATCH($D56,cockpit!$J$6:$J$16,0),MATCH($C73,cockpit!$J$6:$X$6,0))-(Premiumexitcaprate))*$K55)</f>
        <v>6.7500000000000004E-2</v>
      </c>
      <c r="E73" s="126">
        <f t="shared" ref="E73:O73" si="93">IF(E$2=dispositionyear,E66/$D73,0)*(1-Closingcosts)</f>
        <v>0</v>
      </c>
      <c r="F73" s="126">
        <f t="shared" si="93"/>
        <v>0</v>
      </c>
      <c r="G73" s="126">
        <f t="shared" si="93"/>
        <v>0</v>
      </c>
      <c r="H73" s="126">
        <f t="shared" si="93"/>
        <v>0</v>
      </c>
      <c r="I73" s="126">
        <f t="shared" si="93"/>
        <v>0</v>
      </c>
      <c r="J73" s="126">
        <f t="shared" si="93"/>
        <v>0</v>
      </c>
      <c r="K73" s="126">
        <f t="shared" si="93"/>
        <v>0</v>
      </c>
      <c r="L73" s="126">
        <f t="shared" si="93"/>
        <v>0</v>
      </c>
      <c r="M73" s="126">
        <f t="shared" si="93"/>
        <v>0</v>
      </c>
      <c r="N73" s="126">
        <f t="shared" si="93"/>
        <v>0</v>
      </c>
      <c r="O73" s="126">
        <f t="shared" si="93"/>
        <v>54624473.418328308</v>
      </c>
    </row>
    <row r="74" spans="2:15">
      <c r="B74" s="127" t="s">
        <v>197</v>
      </c>
      <c r="C74" s="139"/>
      <c r="D74" s="123"/>
      <c r="E74" s="129">
        <f>SUM(E72:E73)</f>
        <v>0</v>
      </c>
      <c r="F74" s="129">
        <f t="shared" ref="F74" si="94">SUM(F72:F73)</f>
        <v>0</v>
      </c>
      <c r="G74" s="129">
        <f t="shared" ref="G74" si="95">SUM(G72:G73)</f>
        <v>0</v>
      </c>
      <c r="H74" s="129">
        <f t="shared" ref="H74" si="96">SUM(H72:H73)</f>
        <v>0</v>
      </c>
      <c r="I74" s="129">
        <f t="shared" ref="I74" si="97">SUM(I72:I73)</f>
        <v>0</v>
      </c>
      <c r="J74" s="129">
        <f t="shared" ref="J74" si="98">SUM(J72:J73)</f>
        <v>-18025138.628444053</v>
      </c>
      <c r="K74" s="129">
        <f t="shared" ref="K74" si="99">SUM(K72:K73)</f>
        <v>-18385641.401012935</v>
      </c>
      <c r="L74" s="129">
        <f t="shared" ref="L74" si="100">SUM(L72:L73)</f>
        <v>0</v>
      </c>
      <c r="M74" s="129">
        <f t="shared" ref="M74" si="101">SUM(M72:M73)</f>
        <v>0</v>
      </c>
      <c r="N74" s="129">
        <f t="shared" ref="N74" si="102">SUM(N72:N73)</f>
        <v>0</v>
      </c>
      <c r="O74" s="129">
        <f t="shared" ref="O74" si="103">SUM(O72:O73)</f>
        <v>54624473.418328308</v>
      </c>
    </row>
    <row r="75" spans="2:15">
      <c r="B75" s="121"/>
      <c r="C75" s="139"/>
      <c r="D75" s="123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</row>
    <row r="76" spans="2:15">
      <c r="B76" s="127" t="s">
        <v>170</v>
      </c>
      <c r="C76" s="127"/>
      <c r="D76" s="130">
        <f ca="1">IRR(OFFSET(E76,0,0,1,Investmenthorizon+1))</f>
        <v>0.15245613923081658</v>
      </c>
      <c r="E76" s="131">
        <f>SUM(E66,E70,E74)</f>
        <v>0</v>
      </c>
      <c r="F76" s="131">
        <f t="shared" ref="F76:O76" si="104">SUM(F66,F70,F74)</f>
        <v>0</v>
      </c>
      <c r="G76" s="131">
        <f t="shared" si="104"/>
        <v>0</v>
      </c>
      <c r="H76" s="131">
        <f t="shared" si="104"/>
        <v>0</v>
      </c>
      <c r="I76" s="131">
        <f t="shared" si="104"/>
        <v>0</v>
      </c>
      <c r="J76" s="131">
        <f t="shared" si="104"/>
        <v>-18025138.628444053</v>
      </c>
      <c r="K76" s="131">
        <f t="shared" si="104"/>
        <v>-18385641.401012935</v>
      </c>
      <c r="L76" s="131">
        <f t="shared" si="104"/>
        <v>1048935.3126566636</v>
      </c>
      <c r="M76" s="131">
        <f t="shared" si="104"/>
        <v>3624468.9056900674</v>
      </c>
      <c r="N76" s="131">
        <f t="shared" si="104"/>
        <v>3697165.8359779683</v>
      </c>
      <c r="O76" s="131">
        <f t="shared" si="104"/>
        <v>58395790.123199932</v>
      </c>
    </row>
    <row r="81" spans="12:12">
      <c r="L81" s="241"/>
    </row>
    <row r="83" spans="12:12">
      <c r="L83" s="2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124</vt:i4>
      </vt:variant>
    </vt:vector>
  </HeadingPairs>
  <TitlesOfParts>
    <vt:vector size="146" baseType="lpstr">
      <vt:lpstr>market comps</vt:lpstr>
      <vt:lpstr>original</vt:lpstr>
      <vt:lpstr>notes</vt:lpstr>
      <vt:lpstr>Summary Board</vt:lpstr>
      <vt:lpstr>summary</vt:lpstr>
      <vt:lpstr>cockpit</vt:lpstr>
      <vt:lpstr>CFs-&gt;</vt:lpstr>
      <vt:lpstr>combined</vt:lpstr>
      <vt:lpstr>res, market-rate</vt:lpstr>
      <vt:lpstr>res, condo</vt:lpstr>
      <vt:lpstr>res, affordable</vt:lpstr>
      <vt:lpstr>office</vt:lpstr>
      <vt:lpstr>retail</vt:lpstr>
      <vt:lpstr>hotel</vt:lpstr>
      <vt:lpstr>public bldgs</vt:lpstr>
      <vt:lpstr>parking</vt:lpstr>
      <vt:lpstr>acq-demo-repur</vt:lpstr>
      <vt:lpstr>infstrc</vt:lpstr>
      <vt:lpstr>amschedules-&gt;</vt:lpstr>
      <vt:lpstr>p1</vt:lpstr>
      <vt:lpstr>p2</vt:lpstr>
      <vt:lpstr>p3</vt:lpstr>
      <vt:lpstr>amortizationschedule</vt:lpstr>
      <vt:lpstr>annualvisitors</vt:lpstr>
      <vt:lpstr>blendedcaprate</vt:lpstr>
      <vt:lpstr>Closingcosts</vt:lpstr>
      <vt:lpstr>'p2'!ColumnTitle1</vt:lpstr>
      <vt:lpstr>'p3'!ColumnTitle1</vt:lpstr>
      <vt:lpstr>ColumnTitle1</vt:lpstr>
      <vt:lpstr>Condoaveragesize</vt:lpstr>
      <vt:lpstr>CondoconstructionPSF</vt:lpstr>
      <vt:lpstr>Condocostofsale</vt:lpstr>
      <vt:lpstr>CondosalePSF</vt:lpstr>
      <vt:lpstr>Constructioninterestrate</vt:lpstr>
      <vt:lpstr>Constructionservicingfees</vt:lpstr>
      <vt:lpstr>Constructiontime</vt:lpstr>
      <vt:lpstr>demolitionbuildingPSF</vt:lpstr>
      <vt:lpstr>demolitionsurfacelot</vt:lpstr>
      <vt:lpstr>Developerfee</vt:lpstr>
      <vt:lpstr>discountrate</vt:lpstr>
      <vt:lpstr>dispositionyear</vt:lpstr>
      <vt:lpstr>entrancefee</vt:lpstr>
      <vt:lpstr>'p2'!Full_Print</vt:lpstr>
      <vt:lpstr>'p3'!Full_Print</vt:lpstr>
      <vt:lpstr>Full_Print</vt:lpstr>
      <vt:lpstr>giftshopincome</vt:lpstr>
      <vt:lpstr>hoteladr</vt:lpstr>
      <vt:lpstr>Hotelaverageroomsize</vt:lpstr>
      <vt:lpstr>hotelconstructioncostPSF</vt:lpstr>
      <vt:lpstr>hotelfoodandbeverageincome</vt:lpstr>
      <vt:lpstr>hotelfoodandbeveragemargin</vt:lpstr>
      <vt:lpstr>hotelotherincome</vt:lpstr>
      <vt:lpstr>hotelotherincomemargin</vt:lpstr>
      <vt:lpstr>Hotelrampup</vt:lpstr>
      <vt:lpstr>Hotelvacancy</vt:lpstr>
      <vt:lpstr>Inflation</vt:lpstr>
      <vt:lpstr>'p2'!Interest_Rate</vt:lpstr>
      <vt:lpstr>'p3'!Interest_Rate</vt:lpstr>
      <vt:lpstr>Interest_Rate</vt:lpstr>
      <vt:lpstr>Investmenthorizon</vt:lpstr>
      <vt:lpstr>'p2'!Loan_Amount</vt:lpstr>
      <vt:lpstr>'p3'!Loan_Amount</vt:lpstr>
      <vt:lpstr>Loan_Amount</vt:lpstr>
      <vt:lpstr>'p2'!Loan_Start</vt:lpstr>
      <vt:lpstr>'p3'!Loan_Start</vt:lpstr>
      <vt:lpstr>Loan_Start</vt:lpstr>
      <vt:lpstr>'p2'!Loan_Years</vt:lpstr>
      <vt:lpstr>'p3'!Loan_Years</vt:lpstr>
      <vt:lpstr>Loan_Years</vt:lpstr>
      <vt:lpstr>Loantocost</vt:lpstr>
      <vt:lpstr>loantovalue</vt:lpstr>
      <vt:lpstr>MarketrateSF</vt:lpstr>
      <vt:lpstr>'p2'!Number_of_Payments</vt:lpstr>
      <vt:lpstr>'p3'!Number_of_Payments</vt:lpstr>
      <vt:lpstr>Number_of_Payments</vt:lpstr>
      <vt:lpstr>OfficeconstructionratePSF</vt:lpstr>
      <vt:lpstr>officeentrycaprate</vt:lpstr>
      <vt:lpstr>officeexitcap</vt:lpstr>
      <vt:lpstr>OfficemarketratePSF</vt:lpstr>
      <vt:lpstr>officeopex</vt:lpstr>
      <vt:lpstr>Officerampup</vt:lpstr>
      <vt:lpstr>Officevacancy</vt:lpstr>
      <vt:lpstr>parkingaveragespacesize</vt:lpstr>
      <vt:lpstr>parkingconstructioncostPSF</vt:lpstr>
      <vt:lpstr>parkingrampup</vt:lpstr>
      <vt:lpstr>parkingrevenueperspacepermonth</vt:lpstr>
      <vt:lpstr>permanentinterestrate</vt:lpstr>
      <vt:lpstr>permanentservicingfees</vt:lpstr>
      <vt:lpstr>Phase1</vt:lpstr>
      <vt:lpstr>Phase1begin</vt:lpstr>
      <vt:lpstr>Phase1end</vt:lpstr>
      <vt:lpstr>Phase1open</vt:lpstr>
      <vt:lpstr>phase1stabilizationyear</vt:lpstr>
      <vt:lpstr>Phase2</vt:lpstr>
      <vt:lpstr>Phase2begin</vt:lpstr>
      <vt:lpstr>Phase2end</vt:lpstr>
      <vt:lpstr>Phase2open</vt:lpstr>
      <vt:lpstr>phase2stabilizationyear</vt:lpstr>
      <vt:lpstr>Phase3</vt:lpstr>
      <vt:lpstr>Phase3begin</vt:lpstr>
      <vt:lpstr>Phase3end</vt:lpstr>
      <vt:lpstr>Phase3open</vt:lpstr>
      <vt:lpstr>phase3stabilizationyear</vt:lpstr>
      <vt:lpstr>Premiumcosts</vt:lpstr>
      <vt:lpstr>Premiumexitcaprate</vt:lpstr>
      <vt:lpstr>premiumprices</vt:lpstr>
      <vt:lpstr>'Summary Board'!Print_Area</vt:lpstr>
      <vt:lpstr>'p1'!Print_Titles</vt:lpstr>
      <vt:lpstr>'p2'!Print_Titles</vt:lpstr>
      <vt:lpstr>'p3'!Print_Titles</vt:lpstr>
      <vt:lpstr>publicspacesconstructioncostPSF</vt:lpstr>
      <vt:lpstr>Repurposecost</vt:lpstr>
      <vt:lpstr>Residentialaffordableaveragesize</vt:lpstr>
      <vt:lpstr>ResidentialaffordablecostPSF</vt:lpstr>
      <vt:lpstr>ResidentialAffordablePSFrate</vt:lpstr>
      <vt:lpstr>ResidentialAffordablerampup</vt:lpstr>
      <vt:lpstr>ResidentialAffordableSF</vt:lpstr>
      <vt:lpstr>ResidentialAffordablevacancy</vt:lpstr>
      <vt:lpstr>ResidentialCondominiumrampup</vt:lpstr>
      <vt:lpstr>ResidentialCondominiumSF</vt:lpstr>
      <vt:lpstr>ResidentialCondominiumvacancy</vt:lpstr>
      <vt:lpstr>Residentialmarketrateaveragesize</vt:lpstr>
      <vt:lpstr>ResidentialmarketrateconstructionPSF</vt:lpstr>
      <vt:lpstr>ResidentialmarketratePSFrate</vt:lpstr>
      <vt:lpstr>Residentialmarketraterampup</vt:lpstr>
      <vt:lpstr>Residentialmarketratevacancy</vt:lpstr>
      <vt:lpstr>RetailconstructioncostPSF</vt:lpstr>
      <vt:lpstr>retailentrycap</vt:lpstr>
      <vt:lpstr>Retailexitcap</vt:lpstr>
      <vt:lpstr>retailopex</vt:lpstr>
      <vt:lpstr>Retailrampup</vt:lpstr>
      <vt:lpstr>RetailrentalratePSF</vt:lpstr>
      <vt:lpstr>Retailvacancy</vt:lpstr>
      <vt:lpstr>'p2'!RowTitleRegion1..E6</vt:lpstr>
      <vt:lpstr>'p3'!RowTitleRegion1..E6</vt:lpstr>
      <vt:lpstr>RowTitleRegion1..E6</vt:lpstr>
      <vt:lpstr>'p2'!RowTitleRegion2..E11</vt:lpstr>
      <vt:lpstr>'p3'!RowTitleRegion2..E11</vt:lpstr>
      <vt:lpstr>RowTitleRegion2..E11</vt:lpstr>
      <vt:lpstr>'p2'!Total_Cost</vt:lpstr>
      <vt:lpstr>'p3'!Total_Cost</vt:lpstr>
      <vt:lpstr>Total_Cost</vt:lpstr>
      <vt:lpstr>'p2'!Total_Interest</vt:lpstr>
      <vt:lpstr>'p3'!Total_Interest</vt:lpstr>
      <vt:lpstr>Total_Interest</vt:lpstr>
      <vt:lpstr>totalsf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 Yang</dc:creator>
  <cp:lastModifiedBy>John Mark D</cp:lastModifiedBy>
  <cp:lastPrinted>2019-01-28T23:30:34Z</cp:lastPrinted>
  <dcterms:created xsi:type="dcterms:W3CDTF">2019-01-23T21:26:32Z</dcterms:created>
  <dcterms:modified xsi:type="dcterms:W3CDTF">2019-01-28T23:32:55Z</dcterms:modified>
</cp:coreProperties>
</file>