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eyd\Documents\Cornell\Case Competitions\ULI Hines\Financial Model\"/>
    </mc:Choice>
  </mc:AlternateContent>
  <bookViews>
    <workbookView xWindow="0" yWindow="0" windowWidth="28800" windowHeight="11565" tabRatio="863" xr2:uid="{558533C1-1564-44EE-A65F-E4E819B85E08}"/>
    <workbookView xWindow="0" yWindow="0" windowWidth="28800" windowHeight="11610" firstSheet="14" activeTab="17" xr2:uid="{C385FBD0-2778-430E-B5E9-279E5324A788}"/>
  </bookViews>
  <sheets>
    <sheet name="SummarySheet1" sheetId="4" r:id="rId1"/>
    <sheet name="SummarySheet2" sheetId="20" r:id="rId2"/>
    <sheet name="CashFlow-Combined" sheetId="18" r:id="rId3"/>
    <sheet name="BuildingSummary" sheetId="1" r:id="rId4"/>
    <sheet name="Assumptions-Overall" sheetId="10" r:id="rId5"/>
    <sheet name="Assumptions-ResRental" sheetId="2" r:id="rId6"/>
    <sheet name="CashFlow-ResRental" sheetId="12" r:id="rId7"/>
    <sheet name="Assumptions-ResCondo" sheetId="5" r:id="rId8"/>
    <sheet name="CashFlow-ResCondo" sheetId="13" r:id="rId9"/>
    <sheet name="Assumptions-Retail" sheetId="6" r:id="rId10"/>
    <sheet name="CashFlow-Retail" sheetId="14" r:id="rId11"/>
    <sheet name="Assumptions-Office" sheetId="7" r:id="rId12"/>
    <sheet name="CashFlow-Office" sheetId="15" r:id="rId13"/>
    <sheet name="Assumptions-Hotel" sheetId="8" r:id="rId14"/>
    <sheet name="CashFlow-Hotel" sheetId="16" r:id="rId15"/>
    <sheet name="Assumptions-Parking" sheetId="11" r:id="rId16"/>
    <sheet name="CashFlow-Parking" sheetId="17" r:id="rId17"/>
    <sheet name="Assumptions-Land&amp;Infrastructure" sheetId="9" r:id="rId18"/>
  </sheets>
  <definedNames>
    <definedName name="LandPhaseI">'Assumptions-Land&amp;Infrastructure'!$F$8</definedName>
    <definedName name="LandPhaseII">'Assumptions-Land&amp;Infrastructure'!$F$9</definedName>
    <definedName name="LandPhaseIII">'Assumptions-Land&amp;Infrastructure'!$F$10</definedName>
    <definedName name="LandSF">BuildingSummary!$C$7</definedName>
    <definedName name="PhaseIComplete">'Assumptions-Overall'!$C$11</definedName>
    <definedName name="PhaseIConBegin">'Assumptions-Overall'!$C$10</definedName>
    <definedName name="PhaseIConEnd">'Assumptions-Overall'!$E$10</definedName>
    <definedName name="PhaseIIComplete">'Assumptions-Overall'!$C$18</definedName>
    <definedName name="PhaseIIConBegin">'Assumptions-Overall'!$C$17</definedName>
    <definedName name="PhaseIIConEnd">'Assumptions-Overall'!$E$17</definedName>
    <definedName name="PhaseIIIComplete">'Assumptions-Overall'!$C$25</definedName>
    <definedName name="PhaseIIIConBegin">'Assumptions-Overall'!$C$24</definedName>
    <definedName name="PhaseIIIConEnd">'Assumptions-Overall'!$E$24</definedName>
    <definedName name="PhaseIIIPreconBegin">'Assumptions-Overall'!$C$23</definedName>
    <definedName name="PhaseIIIRefi">'Assumptions-Overall'!$C$26</definedName>
    <definedName name="PhaseIIPreconBegin">'Assumptions-Overall'!$C$16</definedName>
    <definedName name="PhaseIIRefi">'Assumptions-Overall'!$C$19</definedName>
    <definedName name="PhaseIPreconBegin">'Assumptions-Overall'!$C$9</definedName>
    <definedName name="PhaseIRefi">'Assumptions-Overall'!$C$12</definedName>
    <definedName name="_xlnm.Print_Area" localSheetId="0">SummarySheet1!$A$1:$N$104</definedName>
    <definedName name="ProjectName">BuildingSummary!$C$3</definedName>
    <definedName name="TeamNumber">BuildingSummary!$C$4</definedName>
  </definedNames>
  <calcPr calcId="171027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4" l="1"/>
  <c r="K87" i="4"/>
  <c r="G101" i="4"/>
  <c r="G99" i="4"/>
  <c r="G100" i="4"/>
  <c r="G98" i="4"/>
  <c r="G97" i="4"/>
  <c r="C93" i="4"/>
  <c r="C92" i="4"/>
  <c r="C91" i="4"/>
  <c r="C90" i="4"/>
  <c r="N60" i="4"/>
  <c r="M60" i="4"/>
  <c r="L60" i="4"/>
  <c r="K60" i="4"/>
  <c r="J60" i="4"/>
  <c r="I60" i="4"/>
  <c r="H60" i="4"/>
  <c r="G60" i="4"/>
  <c r="F60" i="4"/>
  <c r="E60" i="4"/>
  <c r="D60" i="4"/>
  <c r="C86" i="4"/>
  <c r="C85" i="4"/>
  <c r="C88" i="4" s="1"/>
  <c r="G93" i="4"/>
  <c r="G91" i="4"/>
  <c r="G92" i="4"/>
  <c r="G90" i="4"/>
  <c r="C89" i="4"/>
  <c r="G86" i="4"/>
  <c r="G85" i="4"/>
  <c r="N81" i="4"/>
  <c r="M81" i="4"/>
  <c r="L81" i="4"/>
  <c r="K81" i="4"/>
  <c r="J81" i="4"/>
  <c r="I81" i="4"/>
  <c r="H81" i="4"/>
  <c r="G81" i="4"/>
  <c r="F81" i="4"/>
  <c r="E81" i="4"/>
  <c r="D81" i="4"/>
  <c r="N78" i="4"/>
  <c r="M78" i="4"/>
  <c r="L78" i="4"/>
  <c r="K78" i="4"/>
  <c r="J78" i="4"/>
  <c r="I78" i="4"/>
  <c r="H78" i="4"/>
  <c r="G78" i="4"/>
  <c r="F78" i="4"/>
  <c r="E78" i="4"/>
  <c r="D78" i="4"/>
  <c r="N77" i="4"/>
  <c r="M77" i="4"/>
  <c r="L77" i="4"/>
  <c r="K77" i="4"/>
  <c r="J77" i="4"/>
  <c r="I77" i="4"/>
  <c r="H77" i="4"/>
  <c r="G77" i="4"/>
  <c r="F77" i="4"/>
  <c r="E77" i="4"/>
  <c r="D77" i="4"/>
  <c r="N75" i="4"/>
  <c r="M75" i="4"/>
  <c r="L75" i="4"/>
  <c r="K75" i="4"/>
  <c r="J75" i="4"/>
  <c r="I75" i="4"/>
  <c r="H75" i="4"/>
  <c r="G75" i="4"/>
  <c r="F75" i="4"/>
  <c r="E75" i="4"/>
  <c r="N74" i="4"/>
  <c r="M74" i="4"/>
  <c r="L74" i="4"/>
  <c r="K74" i="4"/>
  <c r="J74" i="4"/>
  <c r="I74" i="4"/>
  <c r="H74" i="4"/>
  <c r="G74" i="4"/>
  <c r="F74" i="4"/>
  <c r="E74" i="4"/>
  <c r="D75" i="4"/>
  <c r="D74" i="4"/>
  <c r="N71" i="4"/>
  <c r="M71" i="4"/>
  <c r="L71" i="4"/>
  <c r="K71" i="4"/>
  <c r="J71" i="4"/>
  <c r="I71" i="4"/>
  <c r="H71" i="4"/>
  <c r="G71" i="4"/>
  <c r="F71" i="4"/>
  <c r="E71" i="4"/>
  <c r="N70" i="4"/>
  <c r="M70" i="4"/>
  <c r="L70" i="4"/>
  <c r="K70" i="4"/>
  <c r="J70" i="4"/>
  <c r="I70" i="4"/>
  <c r="H70" i="4"/>
  <c r="G70" i="4"/>
  <c r="F70" i="4"/>
  <c r="E70" i="4"/>
  <c r="D71" i="4"/>
  <c r="D70" i="4"/>
  <c r="N66" i="4"/>
  <c r="M66" i="4"/>
  <c r="L66" i="4"/>
  <c r="K66" i="4"/>
  <c r="J66" i="4"/>
  <c r="I66" i="4"/>
  <c r="H66" i="4"/>
  <c r="G66" i="4"/>
  <c r="F66" i="4"/>
  <c r="E66" i="4"/>
  <c r="N65" i="4"/>
  <c r="M65" i="4"/>
  <c r="L65" i="4"/>
  <c r="K65" i="4"/>
  <c r="J65" i="4"/>
  <c r="I65" i="4"/>
  <c r="H65" i="4"/>
  <c r="G65" i="4"/>
  <c r="F65" i="4"/>
  <c r="E65" i="4"/>
  <c r="N63" i="4"/>
  <c r="N62" i="4"/>
  <c r="N61" i="4"/>
  <c r="M63" i="4"/>
  <c r="L63" i="4"/>
  <c r="K63" i="4"/>
  <c r="J63" i="4"/>
  <c r="I63" i="4"/>
  <c r="H63" i="4"/>
  <c r="G63" i="4"/>
  <c r="F63" i="4"/>
  <c r="E63" i="4"/>
  <c r="M62" i="4"/>
  <c r="L62" i="4"/>
  <c r="K62" i="4"/>
  <c r="J62" i="4"/>
  <c r="I62" i="4"/>
  <c r="H62" i="4"/>
  <c r="G62" i="4"/>
  <c r="F62" i="4"/>
  <c r="E62" i="4"/>
  <c r="M61" i="4"/>
  <c r="L61" i="4"/>
  <c r="K61" i="4"/>
  <c r="J61" i="4"/>
  <c r="I61" i="4"/>
  <c r="H61" i="4"/>
  <c r="G61" i="4"/>
  <c r="F61" i="4"/>
  <c r="E61" i="4"/>
  <c r="D66" i="4"/>
  <c r="D65" i="4"/>
  <c r="D63" i="4"/>
  <c r="D62" i="4"/>
  <c r="D61" i="4"/>
  <c r="K54" i="4"/>
  <c r="K53" i="4"/>
  <c r="C53" i="4"/>
  <c r="C52" i="4"/>
  <c r="C51" i="4"/>
  <c r="D50" i="4"/>
  <c r="M48" i="4"/>
  <c r="L48" i="4"/>
  <c r="K48" i="4"/>
  <c r="J48" i="4"/>
  <c r="I48" i="4"/>
  <c r="H48" i="4"/>
  <c r="G48" i="4"/>
  <c r="F48" i="4"/>
  <c r="E48" i="4"/>
  <c r="M47" i="4"/>
  <c r="L47" i="4"/>
  <c r="K47" i="4"/>
  <c r="J47" i="4"/>
  <c r="I47" i="4"/>
  <c r="H47" i="4"/>
  <c r="G47" i="4"/>
  <c r="F47" i="4"/>
  <c r="E47" i="4"/>
  <c r="M45" i="4"/>
  <c r="L45" i="4"/>
  <c r="K45" i="4"/>
  <c r="J45" i="4"/>
  <c r="I45" i="4"/>
  <c r="H45" i="4"/>
  <c r="G45" i="4"/>
  <c r="F45" i="4"/>
  <c r="E45" i="4"/>
  <c r="C45" i="4" s="1"/>
  <c r="M44" i="4"/>
  <c r="L44" i="4"/>
  <c r="K44" i="4"/>
  <c r="J44" i="4"/>
  <c r="I44" i="4"/>
  <c r="H44" i="4"/>
  <c r="G44" i="4"/>
  <c r="F44" i="4"/>
  <c r="E44" i="4"/>
  <c r="C44" i="4" s="1"/>
  <c r="D48" i="4"/>
  <c r="D47" i="4"/>
  <c r="C46" i="4"/>
  <c r="D45" i="4"/>
  <c r="D44" i="4"/>
  <c r="M41" i="4"/>
  <c r="L41" i="4"/>
  <c r="K41" i="4"/>
  <c r="J41" i="4"/>
  <c r="I41" i="4"/>
  <c r="H41" i="4"/>
  <c r="G41" i="4"/>
  <c r="F41" i="4"/>
  <c r="E41" i="4"/>
  <c r="D41" i="4"/>
  <c r="C41" i="4"/>
  <c r="M39" i="4"/>
  <c r="L39" i="4"/>
  <c r="K39" i="4"/>
  <c r="J39" i="4"/>
  <c r="I39" i="4"/>
  <c r="H39" i="4"/>
  <c r="G39" i="4"/>
  <c r="F39" i="4"/>
  <c r="E39" i="4"/>
  <c r="D39" i="4"/>
  <c r="M38" i="4"/>
  <c r="L38" i="4"/>
  <c r="K38" i="4"/>
  <c r="J38" i="4"/>
  <c r="I38" i="4"/>
  <c r="H38" i="4"/>
  <c r="G38" i="4"/>
  <c r="F38" i="4"/>
  <c r="E38" i="4"/>
  <c r="D38" i="4"/>
  <c r="M36" i="4"/>
  <c r="L36" i="4"/>
  <c r="K36" i="4"/>
  <c r="J36" i="4"/>
  <c r="I36" i="4"/>
  <c r="H36" i="4"/>
  <c r="G36" i="4"/>
  <c r="F36" i="4"/>
  <c r="E36" i="4"/>
  <c r="D36" i="4"/>
  <c r="M33" i="4"/>
  <c r="L33" i="4"/>
  <c r="K33" i="4"/>
  <c r="J33" i="4"/>
  <c r="I33" i="4"/>
  <c r="H33" i="4"/>
  <c r="G33" i="4"/>
  <c r="F33" i="4"/>
  <c r="E33" i="4"/>
  <c r="M32" i="4"/>
  <c r="L32" i="4"/>
  <c r="K32" i="4"/>
  <c r="J32" i="4"/>
  <c r="I32" i="4"/>
  <c r="H32" i="4"/>
  <c r="G32" i="4"/>
  <c r="F32" i="4"/>
  <c r="E32" i="4"/>
  <c r="D33" i="4"/>
  <c r="D32" i="4"/>
  <c r="M31" i="4"/>
  <c r="L31" i="4"/>
  <c r="K31" i="4"/>
  <c r="J31" i="4"/>
  <c r="I31" i="4"/>
  <c r="H31" i="4"/>
  <c r="G31" i="4"/>
  <c r="F31" i="4"/>
  <c r="E31" i="4"/>
  <c r="D31" i="4"/>
  <c r="C17" i="4"/>
  <c r="C16" i="4"/>
  <c r="C15" i="4"/>
  <c r="C14" i="4"/>
  <c r="M27" i="4"/>
  <c r="L27" i="4"/>
  <c r="K27" i="4"/>
  <c r="J27" i="4"/>
  <c r="I27" i="4"/>
  <c r="H27" i="4"/>
  <c r="G27" i="4"/>
  <c r="F27" i="4"/>
  <c r="E27" i="4"/>
  <c r="D27" i="4"/>
  <c r="M26" i="4"/>
  <c r="L26" i="4"/>
  <c r="K26" i="4"/>
  <c r="J26" i="4"/>
  <c r="I26" i="4"/>
  <c r="H26" i="4"/>
  <c r="G26" i="4"/>
  <c r="F26" i="4"/>
  <c r="E26" i="4"/>
  <c r="D26" i="4"/>
  <c r="M22" i="4"/>
  <c r="L22" i="4"/>
  <c r="K22" i="4"/>
  <c r="J22" i="4"/>
  <c r="I22" i="4"/>
  <c r="H22" i="4"/>
  <c r="G22" i="4"/>
  <c r="F22" i="4"/>
  <c r="E22" i="4"/>
  <c r="D22" i="4"/>
  <c r="N11" i="4"/>
  <c r="M11" i="4"/>
  <c r="L11" i="4"/>
  <c r="K11" i="4"/>
  <c r="K21" i="4" s="1"/>
  <c r="K23" i="4" s="1"/>
  <c r="J11" i="4"/>
  <c r="I11" i="4"/>
  <c r="H11" i="4"/>
  <c r="G11" i="4"/>
  <c r="G21" i="4" s="1"/>
  <c r="G23" i="4" s="1"/>
  <c r="F11" i="4"/>
  <c r="E11" i="4"/>
  <c r="D11" i="4"/>
  <c r="N21" i="4"/>
  <c r="M21" i="4"/>
  <c r="M23" i="4" s="1"/>
  <c r="L21" i="4"/>
  <c r="L23" i="4" s="1"/>
  <c r="J21" i="4"/>
  <c r="J23" i="4" s="1"/>
  <c r="I21" i="4"/>
  <c r="I23" i="4" s="1"/>
  <c r="H21" i="4"/>
  <c r="H23" i="4" s="1"/>
  <c r="F21" i="4"/>
  <c r="F23" i="4" s="1"/>
  <c r="E21" i="4"/>
  <c r="E23" i="4" s="1"/>
  <c r="D21" i="4"/>
  <c r="C21" i="4" s="1"/>
  <c r="N5" i="4"/>
  <c r="M5" i="4"/>
  <c r="L5" i="4"/>
  <c r="K5" i="4"/>
  <c r="J5" i="4"/>
  <c r="I5" i="4"/>
  <c r="H5" i="4"/>
  <c r="G5" i="4"/>
  <c r="F5" i="4"/>
  <c r="E5" i="4"/>
  <c r="D5" i="4"/>
  <c r="N16" i="4"/>
  <c r="M16" i="4"/>
  <c r="L16" i="4"/>
  <c r="K16" i="4"/>
  <c r="J16" i="4"/>
  <c r="I16" i="4"/>
  <c r="H16" i="4"/>
  <c r="G16" i="4"/>
  <c r="F16" i="4"/>
  <c r="E16" i="4"/>
  <c r="D16" i="4"/>
  <c r="N13" i="4"/>
  <c r="M13" i="4"/>
  <c r="L13" i="4"/>
  <c r="K13" i="4"/>
  <c r="J13" i="4"/>
  <c r="I13" i="4"/>
  <c r="H13" i="4"/>
  <c r="G13" i="4"/>
  <c r="F13" i="4"/>
  <c r="E13" i="4"/>
  <c r="D13" i="4"/>
  <c r="N10" i="4"/>
  <c r="M10" i="4"/>
  <c r="L10" i="4"/>
  <c r="K10" i="4"/>
  <c r="J10" i="4"/>
  <c r="I10" i="4"/>
  <c r="H10" i="4"/>
  <c r="G10" i="4"/>
  <c r="F10" i="4"/>
  <c r="E10" i="4"/>
  <c r="D10" i="4"/>
  <c r="E3" i="4"/>
  <c r="F3" i="4" s="1"/>
  <c r="G3" i="4" s="1"/>
  <c r="H3" i="4" s="1"/>
  <c r="I3" i="4" s="1"/>
  <c r="J3" i="4" s="1"/>
  <c r="K3" i="4" s="1"/>
  <c r="L3" i="4" s="1"/>
  <c r="M3" i="4" s="1"/>
  <c r="N3" i="4" s="1"/>
  <c r="D133" i="20"/>
  <c r="C133" i="20"/>
  <c r="B133" i="20"/>
  <c r="A133" i="20"/>
  <c r="D132" i="20"/>
  <c r="C132" i="20"/>
  <c r="B132" i="20"/>
  <c r="A132" i="20"/>
  <c r="E128" i="20"/>
  <c r="D128" i="20"/>
  <c r="C128" i="20"/>
  <c r="B128" i="20"/>
  <c r="A128" i="20"/>
  <c r="E127" i="20"/>
  <c r="D127" i="20"/>
  <c r="C127" i="20"/>
  <c r="B127" i="20"/>
  <c r="A127" i="20"/>
  <c r="E126" i="20"/>
  <c r="D126" i="20"/>
  <c r="C126" i="20"/>
  <c r="B126" i="20"/>
  <c r="A126" i="20"/>
  <c r="F121" i="20"/>
  <c r="E121" i="20"/>
  <c r="D121" i="20"/>
  <c r="C121" i="20"/>
  <c r="B121" i="20"/>
  <c r="A121" i="20"/>
  <c r="F120" i="20"/>
  <c r="E120" i="20"/>
  <c r="D120" i="20"/>
  <c r="C120" i="20"/>
  <c r="B120" i="20"/>
  <c r="A120" i="20"/>
  <c r="F119" i="20"/>
  <c r="E119" i="20"/>
  <c r="D119" i="20"/>
  <c r="C119" i="20"/>
  <c r="B119" i="20"/>
  <c r="A119" i="20"/>
  <c r="E114" i="20"/>
  <c r="D114" i="20"/>
  <c r="C114" i="20"/>
  <c r="B114" i="20"/>
  <c r="A114" i="20"/>
  <c r="E113" i="20"/>
  <c r="D113" i="20"/>
  <c r="C113" i="20"/>
  <c r="B113" i="20"/>
  <c r="A113" i="20"/>
  <c r="E112" i="20"/>
  <c r="D112" i="20"/>
  <c r="C112" i="20"/>
  <c r="B112" i="20"/>
  <c r="A112" i="20"/>
  <c r="D107" i="20"/>
  <c r="C107" i="20"/>
  <c r="B107" i="20"/>
  <c r="A107" i="20"/>
  <c r="D106" i="20"/>
  <c r="C106" i="20"/>
  <c r="B106" i="20"/>
  <c r="A106" i="20"/>
  <c r="D105" i="20"/>
  <c r="C105" i="20"/>
  <c r="B105" i="20"/>
  <c r="A105" i="20"/>
  <c r="D104" i="20"/>
  <c r="C104" i="20"/>
  <c r="B104" i="20"/>
  <c r="A104" i="20"/>
  <c r="D103" i="20"/>
  <c r="C103" i="20"/>
  <c r="B103" i="20"/>
  <c r="A103" i="20"/>
  <c r="D102" i="20"/>
  <c r="C102" i="20"/>
  <c r="B102" i="20"/>
  <c r="A102" i="20"/>
  <c r="E97" i="20"/>
  <c r="D97" i="20"/>
  <c r="C97" i="20"/>
  <c r="B97" i="20"/>
  <c r="A97" i="20"/>
  <c r="E96" i="20"/>
  <c r="D96" i="20"/>
  <c r="C96" i="20"/>
  <c r="B96" i="20"/>
  <c r="A96" i="20"/>
  <c r="E95" i="20"/>
  <c r="D95" i="20"/>
  <c r="C95" i="20"/>
  <c r="B95" i="20"/>
  <c r="A95" i="20"/>
  <c r="E94" i="20"/>
  <c r="D94" i="20"/>
  <c r="C94" i="20"/>
  <c r="B94" i="20"/>
  <c r="A94" i="20"/>
  <c r="E93" i="20"/>
  <c r="D93" i="20"/>
  <c r="C93" i="20"/>
  <c r="B93" i="20"/>
  <c r="A93" i="20"/>
  <c r="E92" i="20"/>
  <c r="D92" i="20"/>
  <c r="C92" i="20"/>
  <c r="B92" i="20"/>
  <c r="A92" i="20"/>
  <c r="D87" i="20"/>
  <c r="C87" i="20"/>
  <c r="B87" i="20"/>
  <c r="A87" i="20"/>
  <c r="D86" i="20"/>
  <c r="C86" i="20"/>
  <c r="B86" i="20"/>
  <c r="A86" i="20"/>
  <c r="D85" i="20"/>
  <c r="C85" i="20"/>
  <c r="B85" i="20"/>
  <c r="A85" i="20"/>
  <c r="D84" i="20"/>
  <c r="C84" i="20"/>
  <c r="B84" i="20"/>
  <c r="A84" i="20"/>
  <c r="D80" i="20"/>
  <c r="C80" i="20"/>
  <c r="B80" i="20"/>
  <c r="A80" i="20"/>
  <c r="D79" i="20"/>
  <c r="C79" i="20"/>
  <c r="B79" i="20"/>
  <c r="A79" i="20"/>
  <c r="D78" i="20"/>
  <c r="C78" i="20"/>
  <c r="B78" i="20"/>
  <c r="A78" i="20"/>
  <c r="D77" i="20"/>
  <c r="C77" i="20"/>
  <c r="B77" i="20"/>
  <c r="A77" i="20"/>
  <c r="E56" i="20"/>
  <c r="D56" i="20"/>
  <c r="C56" i="20"/>
  <c r="B56" i="20"/>
  <c r="A56" i="20"/>
  <c r="E55" i="20"/>
  <c r="D55" i="20"/>
  <c r="C55" i="20"/>
  <c r="B55" i="20"/>
  <c r="A55" i="20"/>
  <c r="E54" i="20"/>
  <c r="D54" i="20"/>
  <c r="C54" i="20"/>
  <c r="B54" i="20"/>
  <c r="A54" i="20"/>
  <c r="E53" i="20"/>
  <c r="D53" i="20"/>
  <c r="C53" i="20"/>
  <c r="B53" i="20"/>
  <c r="A53" i="20"/>
  <c r="E49" i="20"/>
  <c r="D49" i="20"/>
  <c r="C49" i="20"/>
  <c r="B49" i="20"/>
  <c r="A49" i="20"/>
  <c r="E48" i="20"/>
  <c r="D48" i="20"/>
  <c r="C48" i="20"/>
  <c r="B48" i="20"/>
  <c r="A48" i="20"/>
  <c r="E47" i="20"/>
  <c r="D47" i="20"/>
  <c r="C47" i="20"/>
  <c r="B47" i="20"/>
  <c r="A47" i="20"/>
  <c r="E46" i="20"/>
  <c r="D46" i="20"/>
  <c r="C46" i="20"/>
  <c r="B46" i="20"/>
  <c r="A46" i="20"/>
  <c r="E73" i="20"/>
  <c r="D73" i="20"/>
  <c r="C73" i="20"/>
  <c r="B73" i="20"/>
  <c r="A73" i="20"/>
  <c r="E72" i="20"/>
  <c r="D72" i="20"/>
  <c r="C72" i="20"/>
  <c r="B72" i="20"/>
  <c r="A72" i="20"/>
  <c r="E71" i="20"/>
  <c r="D71" i="20"/>
  <c r="C71" i="20"/>
  <c r="B71" i="20"/>
  <c r="A71" i="20"/>
  <c r="E70" i="20"/>
  <c r="D70" i="20"/>
  <c r="C70" i="20"/>
  <c r="B70" i="20"/>
  <c r="A70" i="20"/>
  <c r="E69" i="20"/>
  <c r="D69" i="20"/>
  <c r="C69" i="20"/>
  <c r="B69" i="20"/>
  <c r="A69" i="20"/>
  <c r="E65" i="20"/>
  <c r="D65" i="20"/>
  <c r="C65" i="20"/>
  <c r="B65" i="20"/>
  <c r="A65" i="20"/>
  <c r="E64" i="20"/>
  <c r="D64" i="20"/>
  <c r="C64" i="20"/>
  <c r="B64" i="20"/>
  <c r="A64" i="20"/>
  <c r="E63" i="20"/>
  <c r="D63" i="20"/>
  <c r="C63" i="20"/>
  <c r="B63" i="20"/>
  <c r="A63" i="20"/>
  <c r="E62" i="20"/>
  <c r="D62" i="20"/>
  <c r="C62" i="20"/>
  <c r="B62" i="20"/>
  <c r="A62" i="20"/>
  <c r="E61" i="20"/>
  <c r="D61" i="20"/>
  <c r="C61" i="20"/>
  <c r="B61" i="20"/>
  <c r="A61" i="20"/>
  <c r="E42" i="20"/>
  <c r="D42" i="20"/>
  <c r="C42" i="20"/>
  <c r="B42" i="20"/>
  <c r="A42" i="20"/>
  <c r="E41" i="20"/>
  <c r="D41" i="20"/>
  <c r="C41" i="20"/>
  <c r="B41" i="20"/>
  <c r="A41" i="20"/>
  <c r="E40" i="20"/>
  <c r="D40" i="20"/>
  <c r="C40" i="20"/>
  <c r="B40" i="20"/>
  <c r="A40" i="20"/>
  <c r="E39" i="20"/>
  <c r="D39" i="20"/>
  <c r="C39" i="20"/>
  <c r="B39" i="20"/>
  <c r="A39" i="20"/>
  <c r="E38" i="20"/>
  <c r="D38" i="20"/>
  <c r="C38" i="20"/>
  <c r="B38" i="20"/>
  <c r="A38" i="20"/>
  <c r="E34" i="20"/>
  <c r="D34" i="20"/>
  <c r="C34" i="20"/>
  <c r="B34" i="20"/>
  <c r="A34" i="20"/>
  <c r="E33" i="20"/>
  <c r="D33" i="20"/>
  <c r="C33" i="20"/>
  <c r="B33" i="20"/>
  <c r="A33" i="20"/>
  <c r="E32" i="20"/>
  <c r="D32" i="20"/>
  <c r="C32" i="20"/>
  <c r="B32" i="20"/>
  <c r="A32" i="20"/>
  <c r="E31" i="20"/>
  <c r="D31" i="20"/>
  <c r="C31" i="20"/>
  <c r="B31" i="20"/>
  <c r="A31" i="20"/>
  <c r="E30" i="20"/>
  <c r="D30" i="20"/>
  <c r="C30" i="20"/>
  <c r="B30" i="20"/>
  <c r="A30" i="20"/>
  <c r="H56" i="20"/>
  <c r="I56" i="20"/>
  <c r="H57" i="20"/>
  <c r="I57" i="20"/>
  <c r="H58" i="20"/>
  <c r="I58" i="20"/>
  <c r="H59" i="20"/>
  <c r="I59" i="20"/>
  <c r="H60" i="20"/>
  <c r="I60" i="20"/>
  <c r="H61" i="20"/>
  <c r="I61" i="20"/>
  <c r="H62" i="20"/>
  <c r="H63" i="20"/>
  <c r="H67" i="20"/>
  <c r="I67" i="20"/>
  <c r="H68" i="20"/>
  <c r="I68" i="20"/>
  <c r="H69" i="20"/>
  <c r="I69" i="20"/>
  <c r="H70" i="20"/>
  <c r="I70" i="20"/>
  <c r="H71" i="20"/>
  <c r="I71" i="20"/>
  <c r="H72" i="20"/>
  <c r="I72" i="20"/>
  <c r="B25" i="20"/>
  <c r="A25" i="20"/>
  <c r="B24" i="20"/>
  <c r="A24" i="20"/>
  <c r="D20" i="20"/>
  <c r="C20" i="20"/>
  <c r="D19" i="20"/>
  <c r="C19" i="20"/>
  <c r="D18" i="20"/>
  <c r="C18" i="20"/>
  <c r="B21" i="20"/>
  <c r="A21" i="20"/>
  <c r="B20" i="20"/>
  <c r="A20" i="20"/>
  <c r="B19" i="20"/>
  <c r="A19" i="20"/>
  <c r="B18" i="20"/>
  <c r="A18" i="20"/>
  <c r="D13" i="20"/>
  <c r="C13" i="20"/>
  <c r="D12" i="20"/>
  <c r="C12" i="20"/>
  <c r="D11" i="20"/>
  <c r="C11" i="20"/>
  <c r="B14" i="20"/>
  <c r="A14" i="20"/>
  <c r="B13" i="20"/>
  <c r="A13" i="20"/>
  <c r="B12" i="20"/>
  <c r="A12" i="20"/>
  <c r="B11" i="20"/>
  <c r="A11" i="20"/>
  <c r="D6" i="20"/>
  <c r="C6" i="20"/>
  <c r="D5" i="20"/>
  <c r="C5" i="20"/>
  <c r="D4" i="20"/>
  <c r="C4" i="20"/>
  <c r="B7" i="20"/>
  <c r="A7" i="20"/>
  <c r="B6" i="20"/>
  <c r="A6" i="20"/>
  <c r="B5" i="20"/>
  <c r="A5" i="20"/>
  <c r="B4" i="20"/>
  <c r="A4" i="20"/>
  <c r="K125" i="20"/>
  <c r="K124" i="20"/>
  <c r="K123" i="20"/>
  <c r="K122" i="20"/>
  <c r="K120" i="20"/>
  <c r="K119" i="20"/>
  <c r="K117" i="20"/>
  <c r="K116" i="20"/>
  <c r="K114" i="20"/>
  <c r="K113" i="20"/>
  <c r="J113" i="20"/>
  <c r="K112" i="20"/>
  <c r="J112" i="20"/>
  <c r="K111" i="20"/>
  <c r="J111" i="20"/>
  <c r="K110" i="20"/>
  <c r="J110" i="20"/>
  <c r="K109" i="20"/>
  <c r="J109" i="20"/>
  <c r="I114" i="20"/>
  <c r="H114" i="20"/>
  <c r="I113" i="20"/>
  <c r="H113" i="20"/>
  <c r="I112" i="20"/>
  <c r="H112" i="20"/>
  <c r="I111" i="20"/>
  <c r="H111" i="20"/>
  <c r="I110" i="20"/>
  <c r="H110" i="20"/>
  <c r="I109" i="20"/>
  <c r="H109" i="20"/>
  <c r="H105" i="20"/>
  <c r="H104" i="20"/>
  <c r="I103" i="20"/>
  <c r="H103" i="20"/>
  <c r="I102" i="20"/>
  <c r="H102" i="20"/>
  <c r="I101" i="20"/>
  <c r="H101" i="20"/>
  <c r="I100" i="20"/>
  <c r="H100" i="20"/>
  <c r="I99" i="20"/>
  <c r="H99" i="20"/>
  <c r="I98" i="20"/>
  <c r="H98" i="20"/>
  <c r="I97" i="20"/>
  <c r="H97" i="20"/>
  <c r="I96" i="20"/>
  <c r="H96" i="20"/>
  <c r="J92" i="20"/>
  <c r="J91" i="20"/>
  <c r="J90" i="20"/>
  <c r="J89" i="20"/>
  <c r="H93" i="20"/>
  <c r="I92" i="20"/>
  <c r="H92" i="20"/>
  <c r="H91" i="20"/>
  <c r="H90" i="20"/>
  <c r="H89" i="20"/>
  <c r="K83" i="20"/>
  <c r="K82" i="20"/>
  <c r="K81" i="20"/>
  <c r="K80" i="20"/>
  <c r="K78" i="20"/>
  <c r="K77" i="20"/>
  <c r="K75" i="20"/>
  <c r="K74" i="20"/>
  <c r="K72" i="20"/>
  <c r="K71" i="20"/>
  <c r="J71" i="20"/>
  <c r="K70" i="20"/>
  <c r="J70" i="20"/>
  <c r="K69" i="20"/>
  <c r="J69" i="20"/>
  <c r="K68" i="20"/>
  <c r="J68" i="20"/>
  <c r="K67" i="20"/>
  <c r="J67" i="20"/>
  <c r="I55" i="20"/>
  <c r="H55" i="20"/>
  <c r="I54" i="20"/>
  <c r="H54" i="20"/>
  <c r="J50" i="20"/>
  <c r="J49" i="20"/>
  <c r="J48" i="20"/>
  <c r="J47" i="20"/>
  <c r="H51" i="20"/>
  <c r="I50" i="20"/>
  <c r="H50" i="20"/>
  <c r="H49" i="20"/>
  <c r="H48" i="20"/>
  <c r="H47" i="20"/>
  <c r="K41" i="20"/>
  <c r="K40" i="20"/>
  <c r="K39" i="20"/>
  <c r="K38" i="20"/>
  <c r="K36" i="20"/>
  <c r="K35" i="20"/>
  <c r="K33" i="20"/>
  <c r="K32" i="20"/>
  <c r="K30" i="20"/>
  <c r="I30" i="20"/>
  <c r="H30" i="20"/>
  <c r="K29" i="20"/>
  <c r="J29" i="20"/>
  <c r="I29" i="20"/>
  <c r="H29" i="20"/>
  <c r="K28" i="20"/>
  <c r="J28" i="20"/>
  <c r="I28" i="20"/>
  <c r="H28" i="20"/>
  <c r="K27" i="20"/>
  <c r="J27" i="20"/>
  <c r="I27" i="20"/>
  <c r="H27" i="20"/>
  <c r="K26" i="20"/>
  <c r="J26" i="20"/>
  <c r="I26" i="20"/>
  <c r="H26" i="20"/>
  <c r="K25" i="20"/>
  <c r="J25" i="20"/>
  <c r="I25" i="20"/>
  <c r="H25" i="20"/>
  <c r="H21" i="20"/>
  <c r="H20" i="20"/>
  <c r="I19" i="20"/>
  <c r="H19" i="20"/>
  <c r="I18" i="20"/>
  <c r="H18" i="20"/>
  <c r="I17" i="20"/>
  <c r="H17" i="20"/>
  <c r="I16" i="20"/>
  <c r="H16" i="20"/>
  <c r="I15" i="20"/>
  <c r="H15" i="20"/>
  <c r="I14" i="20"/>
  <c r="H14" i="20"/>
  <c r="I13" i="20"/>
  <c r="H13" i="20"/>
  <c r="I12" i="20"/>
  <c r="H12" i="20"/>
  <c r="J8" i="20"/>
  <c r="J7" i="20"/>
  <c r="J6" i="20"/>
  <c r="J5" i="20"/>
  <c r="H9" i="20"/>
  <c r="I8" i="20"/>
  <c r="H8" i="20"/>
  <c r="H7" i="20"/>
  <c r="H6" i="20"/>
  <c r="H5" i="20"/>
  <c r="G58" i="4"/>
  <c r="H58" i="4" s="1"/>
  <c r="I58" i="4" s="1"/>
  <c r="J58" i="4" s="1"/>
  <c r="K58" i="4" s="1"/>
  <c r="L58" i="4" s="1"/>
  <c r="M58" i="4" s="1"/>
  <c r="N58" i="4" s="1"/>
  <c r="C48" i="4"/>
  <c r="C47" i="4"/>
  <c r="C39" i="4"/>
  <c r="C38" i="4"/>
  <c r="C37" i="4"/>
  <c r="C36" i="4"/>
  <c r="C35" i="4"/>
  <c r="C34" i="4"/>
  <c r="C33" i="4"/>
  <c r="C32" i="4"/>
  <c r="C31" i="4"/>
  <c r="C28" i="4"/>
  <c r="C27" i="4"/>
  <c r="C26" i="4"/>
  <c r="C22" i="4"/>
  <c r="C20" i="4"/>
  <c r="C19" i="4"/>
  <c r="C18" i="4"/>
  <c r="C13" i="4"/>
  <c r="C11" i="4"/>
  <c r="C10" i="4"/>
  <c r="C7" i="4"/>
  <c r="C5" i="4"/>
  <c r="D23" i="4" l="1"/>
  <c r="C23" i="4" s="1"/>
  <c r="O27" i="9"/>
  <c r="Q28" i="1"/>
  <c r="Z35" i="1"/>
  <c r="Z34" i="1"/>
  <c r="O15" i="9"/>
  <c r="O14" i="9"/>
  <c r="Y35" i="1"/>
  <c r="X35" i="1"/>
  <c r="W35" i="1"/>
  <c r="Y34" i="1"/>
  <c r="X34" i="1"/>
  <c r="W34" i="1"/>
  <c r="D290" i="18" l="1"/>
  <c r="D288" i="18"/>
  <c r="D287" i="18"/>
  <c r="D282" i="18"/>
  <c r="D279" i="18"/>
  <c r="M276" i="18"/>
  <c r="L276" i="18"/>
  <c r="K276" i="18"/>
  <c r="J276" i="18"/>
  <c r="I276" i="18"/>
  <c r="H276" i="18"/>
  <c r="G276" i="18"/>
  <c r="F276" i="18"/>
  <c r="E276" i="18"/>
  <c r="D276" i="18"/>
  <c r="C267" i="18"/>
  <c r="P165" i="18"/>
  <c r="M202" i="18"/>
  <c r="L202" i="18"/>
  <c r="K202" i="18"/>
  <c r="J202" i="18"/>
  <c r="I202" i="18"/>
  <c r="H202" i="18"/>
  <c r="G202" i="18"/>
  <c r="F202" i="18"/>
  <c r="E202" i="18"/>
  <c r="D202" i="18"/>
  <c r="P186" i="18"/>
  <c r="P185" i="18"/>
  <c r="P184" i="18"/>
  <c r="P183" i="18"/>
  <c r="P182" i="18"/>
  <c r="R192" i="18"/>
  <c r="R189" i="18"/>
  <c r="O187" i="18"/>
  <c r="R186" i="18"/>
  <c r="O186" i="18"/>
  <c r="Q185" i="18"/>
  <c r="R185" i="18"/>
  <c r="O185" i="18"/>
  <c r="Q184" i="18"/>
  <c r="R184" i="18"/>
  <c r="O184" i="18"/>
  <c r="Q183" i="18"/>
  <c r="R183" i="18"/>
  <c r="O183" i="18"/>
  <c r="Q182" i="18"/>
  <c r="P187" i="18"/>
  <c r="R193" i="18" s="1"/>
  <c r="O182" i="18"/>
  <c r="P176" i="18"/>
  <c r="O176" i="18"/>
  <c r="P175" i="18"/>
  <c r="O175" i="18"/>
  <c r="P174" i="18"/>
  <c r="O174" i="18"/>
  <c r="P173" i="18"/>
  <c r="O173" i="18"/>
  <c r="P172" i="18"/>
  <c r="O172" i="18"/>
  <c r="P171" i="18"/>
  <c r="O171" i="18"/>
  <c r="P170" i="18"/>
  <c r="O170" i="18"/>
  <c r="P169" i="18"/>
  <c r="Q164" i="18"/>
  <c r="Q163" i="18"/>
  <c r="Q162" i="18"/>
  <c r="D213" i="18"/>
  <c r="D205" i="18"/>
  <c r="C193" i="18"/>
  <c r="R118" i="18"/>
  <c r="R44" i="18"/>
  <c r="Q111" i="18"/>
  <c r="Q110" i="18"/>
  <c r="Q109" i="18"/>
  <c r="Q108" i="18"/>
  <c r="Q37" i="18"/>
  <c r="Q36" i="18"/>
  <c r="Q35" i="18"/>
  <c r="Q34" i="18"/>
  <c r="D139" i="18"/>
  <c r="D131" i="18"/>
  <c r="R115" i="18"/>
  <c r="O113" i="18"/>
  <c r="O112" i="18"/>
  <c r="O111" i="18"/>
  <c r="O110" i="18"/>
  <c r="O109" i="18"/>
  <c r="O108" i="18"/>
  <c r="O102" i="18"/>
  <c r="O101" i="18"/>
  <c r="O100" i="18"/>
  <c r="O99" i="18"/>
  <c r="O98" i="18"/>
  <c r="O97" i="18"/>
  <c r="O96" i="18"/>
  <c r="Q90" i="18"/>
  <c r="Q89" i="18"/>
  <c r="R41" i="18"/>
  <c r="O35" i="18"/>
  <c r="O36" i="18"/>
  <c r="O37" i="18"/>
  <c r="O38" i="18"/>
  <c r="O39" i="18"/>
  <c r="O34" i="18"/>
  <c r="D65" i="18"/>
  <c r="D66" i="18" s="1"/>
  <c r="D57" i="18"/>
  <c r="D58" i="18" s="1"/>
  <c r="Q15" i="18"/>
  <c r="Q16" i="18"/>
  <c r="O23" i="18"/>
  <c r="O24" i="18"/>
  <c r="O25" i="18"/>
  <c r="O26" i="18"/>
  <c r="O27" i="18"/>
  <c r="O28" i="18"/>
  <c r="O22" i="18"/>
  <c r="R17" i="9"/>
  <c r="Q17" i="9"/>
  <c r="R182" i="18" l="1"/>
  <c r="R187" i="18" s="1"/>
  <c r="R190" i="18" s="1"/>
  <c r="R195" i="18" s="1"/>
  <c r="D206" i="18"/>
  <c r="D208" i="18"/>
  <c r="D214" i="18"/>
  <c r="D216" i="18"/>
  <c r="D132" i="18"/>
  <c r="D280" i="18" s="1"/>
  <c r="D140" i="18"/>
  <c r="L224" i="18" l="1"/>
  <c r="H224" i="18"/>
  <c r="D224" i="18"/>
  <c r="K224" i="18"/>
  <c r="G224" i="18"/>
  <c r="M224" i="18"/>
  <c r="E224" i="18"/>
  <c r="J224" i="18"/>
  <c r="F224" i="18"/>
  <c r="I224" i="18"/>
  <c r="R197" i="18"/>
  <c r="R196" i="18"/>
  <c r="R198" i="18" l="1"/>
  <c r="J225" i="18"/>
  <c r="F225" i="18"/>
  <c r="G225" i="18"/>
  <c r="M225" i="18"/>
  <c r="I225" i="18"/>
  <c r="E225" i="18"/>
  <c r="L225" i="18"/>
  <c r="H225" i="18"/>
  <c r="D225" i="18"/>
  <c r="K225" i="18"/>
  <c r="J223" i="18"/>
  <c r="F223" i="18"/>
  <c r="K223" i="18"/>
  <c r="M223" i="18"/>
  <c r="I223" i="18"/>
  <c r="E223" i="18"/>
  <c r="G223" i="18"/>
  <c r="L223" i="18"/>
  <c r="H223" i="18"/>
  <c r="D223" i="18"/>
  <c r="K226" i="18" l="1"/>
  <c r="G226" i="18"/>
  <c r="J226" i="18"/>
  <c r="F226" i="18"/>
  <c r="H226" i="18"/>
  <c r="M226" i="18"/>
  <c r="I226" i="18"/>
  <c r="E226" i="18"/>
  <c r="L226" i="18"/>
  <c r="D226" i="18"/>
  <c r="C10" i="9" l="1"/>
  <c r="C9" i="9"/>
  <c r="C8" i="9"/>
  <c r="J10" i="9"/>
  <c r="J9" i="9"/>
  <c r="J8" i="9"/>
  <c r="F10" i="9"/>
  <c r="F9" i="9"/>
  <c r="F8" i="9"/>
  <c r="B136" i="14"/>
  <c r="F11" i="6"/>
  <c r="B82" i="14"/>
  <c r="B28" i="14"/>
  <c r="B17" i="14"/>
  <c r="B71" i="14" s="1"/>
  <c r="B125" i="14" s="1"/>
  <c r="M11" i="6"/>
  <c r="K11" i="6"/>
  <c r="H11" i="6"/>
  <c r="C11" i="6"/>
  <c r="F11" i="9" l="1"/>
  <c r="D8" i="18"/>
  <c r="E7" i="18"/>
  <c r="F7" i="18" s="1"/>
  <c r="G7" i="18" s="1"/>
  <c r="H7" i="18" s="1"/>
  <c r="I7" i="18" s="1"/>
  <c r="J7" i="18" s="1"/>
  <c r="K7" i="18" s="1"/>
  <c r="L7" i="18" s="1"/>
  <c r="M7" i="18" s="1"/>
  <c r="C4" i="18"/>
  <c r="C3" i="18"/>
  <c r="L13" i="9"/>
  <c r="L12" i="9"/>
  <c r="L11" i="9"/>
  <c r="J13" i="9"/>
  <c r="J12" i="9"/>
  <c r="J11" i="9"/>
  <c r="C7" i="1"/>
  <c r="M11" i="9" l="1"/>
  <c r="M12" i="9"/>
  <c r="M13" i="9"/>
  <c r="E8" i="18"/>
  <c r="L23" i="9"/>
  <c r="M23" i="9" s="1"/>
  <c r="L22" i="9"/>
  <c r="M22" i="9" s="1"/>
  <c r="M10" i="9"/>
  <c r="M26" i="9" s="1"/>
  <c r="M9" i="9"/>
  <c r="J15" i="9"/>
  <c r="M15" i="9" s="1"/>
  <c r="J14" i="9"/>
  <c r="M14" i="9" s="1"/>
  <c r="M21" i="9"/>
  <c r="M20" i="9"/>
  <c r="M19" i="9"/>
  <c r="M18" i="9"/>
  <c r="M17" i="9"/>
  <c r="M16" i="9"/>
  <c r="M8" i="9"/>
  <c r="E30" i="11"/>
  <c r="D8" i="17"/>
  <c r="E7" i="17"/>
  <c r="F7" i="17" s="1"/>
  <c r="G7" i="17" s="1"/>
  <c r="H7" i="17" s="1"/>
  <c r="I7" i="17" s="1"/>
  <c r="J7" i="17" s="1"/>
  <c r="K7" i="17" s="1"/>
  <c r="L7" i="17" s="1"/>
  <c r="M7" i="17" s="1"/>
  <c r="N7" i="17" s="1"/>
  <c r="C4" i="17"/>
  <c r="C3" i="17"/>
  <c r="N25" i="16"/>
  <c r="M25" i="16"/>
  <c r="L25" i="16"/>
  <c r="K25" i="16"/>
  <c r="J25" i="16"/>
  <c r="I25" i="16"/>
  <c r="H25" i="16"/>
  <c r="G25" i="16"/>
  <c r="F25" i="16"/>
  <c r="E25" i="16"/>
  <c r="D25" i="16"/>
  <c r="N24" i="16"/>
  <c r="M24" i="16"/>
  <c r="L24" i="16"/>
  <c r="K24" i="16"/>
  <c r="J24" i="16"/>
  <c r="I24" i="16"/>
  <c r="H24" i="16"/>
  <c r="G24" i="16"/>
  <c r="F24" i="16"/>
  <c r="E24" i="16"/>
  <c r="D24" i="16"/>
  <c r="N22" i="16"/>
  <c r="M22" i="16"/>
  <c r="L22" i="16"/>
  <c r="L28" i="16" s="1"/>
  <c r="K22" i="16"/>
  <c r="J22" i="16"/>
  <c r="I22" i="16"/>
  <c r="I28" i="16" s="1"/>
  <c r="H22" i="16"/>
  <c r="H28" i="16" s="1"/>
  <c r="G22" i="16"/>
  <c r="F22" i="16"/>
  <c r="E22" i="16"/>
  <c r="D22" i="16"/>
  <c r="D28" i="16" s="1"/>
  <c r="N21" i="16"/>
  <c r="M21" i="16"/>
  <c r="M27" i="16" s="1"/>
  <c r="L21" i="16"/>
  <c r="K21" i="16"/>
  <c r="J21" i="16"/>
  <c r="J27" i="16" s="1"/>
  <c r="I21" i="16"/>
  <c r="H21" i="16"/>
  <c r="G21" i="16"/>
  <c r="F21" i="16"/>
  <c r="E21" i="16"/>
  <c r="E27" i="16" s="1"/>
  <c r="D21" i="16"/>
  <c r="B17" i="16"/>
  <c r="B33" i="16" s="1"/>
  <c r="B38" i="16" s="1"/>
  <c r="B43" i="16" s="1"/>
  <c r="B16" i="16"/>
  <c r="B32" i="16" s="1"/>
  <c r="B37" i="16" s="1"/>
  <c r="G27" i="16"/>
  <c r="N28" i="16"/>
  <c r="J28" i="16"/>
  <c r="F28" i="16"/>
  <c r="K27" i="16"/>
  <c r="I27" i="16"/>
  <c r="N90" i="16"/>
  <c r="M90" i="16"/>
  <c r="L90" i="16"/>
  <c r="K90" i="16"/>
  <c r="J90" i="16"/>
  <c r="I90" i="16"/>
  <c r="H90" i="16"/>
  <c r="G90" i="16"/>
  <c r="F90" i="16"/>
  <c r="E90" i="16"/>
  <c r="D90" i="16"/>
  <c r="N89" i="16"/>
  <c r="M89" i="16"/>
  <c r="L89" i="16"/>
  <c r="K89" i="16"/>
  <c r="J89" i="16"/>
  <c r="I89" i="16"/>
  <c r="H89" i="16"/>
  <c r="G89" i="16"/>
  <c r="F89" i="16"/>
  <c r="E89" i="16"/>
  <c r="D89" i="16"/>
  <c r="N87" i="16"/>
  <c r="M87" i="16"/>
  <c r="L87" i="16"/>
  <c r="K87" i="16"/>
  <c r="J87" i="16"/>
  <c r="I87" i="16"/>
  <c r="H87" i="16"/>
  <c r="G87" i="16"/>
  <c r="F87" i="16"/>
  <c r="E87" i="16"/>
  <c r="D87" i="16"/>
  <c r="N86" i="16"/>
  <c r="M86" i="16"/>
  <c r="L86" i="16"/>
  <c r="K86" i="16"/>
  <c r="J86" i="16"/>
  <c r="I86" i="16"/>
  <c r="H86" i="16"/>
  <c r="G86" i="16"/>
  <c r="F86" i="16"/>
  <c r="E86" i="16"/>
  <c r="D86" i="16"/>
  <c r="N155" i="16"/>
  <c r="M155" i="16"/>
  <c r="L155" i="16"/>
  <c r="K155" i="16"/>
  <c r="J155" i="16"/>
  <c r="I155" i="16"/>
  <c r="H155" i="16"/>
  <c r="G155" i="16"/>
  <c r="F155" i="16"/>
  <c r="N154" i="16"/>
  <c r="M154" i="16"/>
  <c r="L154" i="16"/>
  <c r="K154" i="16"/>
  <c r="J154" i="16"/>
  <c r="I154" i="16"/>
  <c r="H154" i="16"/>
  <c r="G154" i="16"/>
  <c r="F154" i="16"/>
  <c r="E155" i="16"/>
  <c r="E154" i="16"/>
  <c r="D155" i="16"/>
  <c r="D154" i="16"/>
  <c r="D152" i="16"/>
  <c r="E152" i="16" s="1"/>
  <c r="F152" i="16" s="1"/>
  <c r="D151" i="16"/>
  <c r="B81" i="16"/>
  <c r="B97" i="16" s="1"/>
  <c r="B102" i="16" s="1"/>
  <c r="B107" i="16" s="1"/>
  <c r="D8" i="16"/>
  <c r="E7" i="16"/>
  <c r="F7" i="16" s="1"/>
  <c r="G7" i="16" s="1"/>
  <c r="H7" i="16" s="1"/>
  <c r="I7" i="16" s="1"/>
  <c r="J7" i="16" s="1"/>
  <c r="K7" i="16" s="1"/>
  <c r="L7" i="16" s="1"/>
  <c r="M7" i="16" s="1"/>
  <c r="N7" i="16" s="1"/>
  <c r="C4" i="16"/>
  <c r="C3" i="16"/>
  <c r="B16" i="15"/>
  <c r="B15" i="15"/>
  <c r="D8" i="15"/>
  <c r="E7" i="15"/>
  <c r="C4" i="15"/>
  <c r="C3" i="15"/>
  <c r="B19" i="14"/>
  <c r="B73" i="14" s="1"/>
  <c r="B127" i="14" s="1"/>
  <c r="B18" i="14"/>
  <c r="B72" i="14" s="1"/>
  <c r="B126" i="14" s="1"/>
  <c r="B16" i="14"/>
  <c r="B70" i="14" s="1"/>
  <c r="B124" i="14" s="1"/>
  <c r="B15" i="14"/>
  <c r="B69" i="14" s="1"/>
  <c r="B123" i="14" s="1"/>
  <c r="D8" i="14"/>
  <c r="E7" i="14"/>
  <c r="C4" i="14"/>
  <c r="C3" i="14"/>
  <c r="H27" i="16" l="1"/>
  <c r="L27" i="16"/>
  <c r="E28" i="16"/>
  <c r="M28" i="16"/>
  <c r="M24" i="9"/>
  <c r="D27" i="16"/>
  <c r="F8" i="18"/>
  <c r="M25" i="9"/>
  <c r="E8" i="17"/>
  <c r="F27" i="16"/>
  <c r="N27" i="16"/>
  <c r="G28" i="16"/>
  <c r="K28" i="16"/>
  <c r="B42" i="16"/>
  <c r="B82" i="16"/>
  <c r="B21" i="16"/>
  <c r="B24" i="16" s="1"/>
  <c r="B27" i="16" s="1"/>
  <c r="B22" i="16"/>
  <c r="B25" i="16" s="1"/>
  <c r="B28" i="16" s="1"/>
  <c r="B98" i="16"/>
  <c r="B103" i="16" s="1"/>
  <c r="B108" i="16" s="1"/>
  <c r="B87" i="16"/>
  <c r="B90" i="16" s="1"/>
  <c r="B93" i="16" s="1"/>
  <c r="E93" i="16"/>
  <c r="E92" i="16"/>
  <c r="B86" i="16"/>
  <c r="B89" i="16" s="1"/>
  <c r="B92" i="16" s="1"/>
  <c r="D92" i="16"/>
  <c r="D93" i="16"/>
  <c r="D157" i="16"/>
  <c r="D158" i="16"/>
  <c r="E151" i="16"/>
  <c r="F151" i="16" s="1"/>
  <c r="G151" i="16" s="1"/>
  <c r="H151" i="16" s="1"/>
  <c r="I151" i="16" s="1"/>
  <c r="J151" i="16" s="1"/>
  <c r="K151" i="16" s="1"/>
  <c r="L151" i="16" s="1"/>
  <c r="M151" i="16" s="1"/>
  <c r="N151" i="16" s="1"/>
  <c r="F158" i="16"/>
  <c r="G152" i="16"/>
  <c r="H152" i="16" s="1"/>
  <c r="I152" i="16" s="1"/>
  <c r="J152" i="16" s="1"/>
  <c r="K152" i="16" s="1"/>
  <c r="L152" i="16" s="1"/>
  <c r="M152" i="16" s="1"/>
  <c r="N152" i="16" s="1"/>
  <c r="E158" i="16"/>
  <c r="D9" i="16"/>
  <c r="E8" i="16"/>
  <c r="B20" i="15"/>
  <c r="B21" i="15"/>
  <c r="E8" i="15"/>
  <c r="F7" i="15"/>
  <c r="G7" i="15" s="1"/>
  <c r="H7" i="15" s="1"/>
  <c r="I7" i="15" s="1"/>
  <c r="J7" i="15" s="1"/>
  <c r="K7" i="15" s="1"/>
  <c r="L7" i="15" s="1"/>
  <c r="M7" i="15" s="1"/>
  <c r="N7" i="15" s="1"/>
  <c r="E8" i="14"/>
  <c r="F7" i="14"/>
  <c r="M27" i="9" l="1"/>
  <c r="F157" i="16"/>
  <c r="G8" i="18"/>
  <c r="F8" i="17"/>
  <c r="F92" i="16"/>
  <c r="F93" i="16"/>
  <c r="E9" i="16"/>
  <c r="E157" i="16"/>
  <c r="G157" i="16"/>
  <c r="H157" i="16"/>
  <c r="G158" i="16"/>
  <c r="F8" i="16"/>
  <c r="B147" i="16"/>
  <c r="B146" i="16"/>
  <c r="B25" i="15"/>
  <c r="B65" i="15"/>
  <c r="B26" i="15"/>
  <c r="B66" i="15"/>
  <c r="F8" i="15"/>
  <c r="G7" i="14"/>
  <c r="F8" i="14"/>
  <c r="H8" i="18" l="1"/>
  <c r="G8" i="17"/>
  <c r="G92" i="16"/>
  <c r="G93" i="16"/>
  <c r="F9" i="16"/>
  <c r="B162" i="16"/>
  <c r="B167" i="16" s="1"/>
  <c r="B172" i="16" s="1"/>
  <c r="B151" i="16"/>
  <c r="B154" i="16" s="1"/>
  <c r="B157" i="16" s="1"/>
  <c r="B163" i="16"/>
  <c r="B168" i="16" s="1"/>
  <c r="B173" i="16" s="1"/>
  <c r="B152" i="16"/>
  <c r="B155" i="16" s="1"/>
  <c r="B158" i="16" s="1"/>
  <c r="H158" i="16"/>
  <c r="G8" i="16"/>
  <c r="B70" i="15"/>
  <c r="B71" i="15"/>
  <c r="G8" i="15"/>
  <c r="H7" i="14"/>
  <c r="G8" i="14"/>
  <c r="I8" i="18" l="1"/>
  <c r="H8" i="17"/>
  <c r="H92" i="16"/>
  <c r="H93" i="16"/>
  <c r="G9" i="16"/>
  <c r="H8" i="16"/>
  <c r="I157" i="16"/>
  <c r="I158" i="16"/>
  <c r="J157" i="16"/>
  <c r="B76" i="15"/>
  <c r="B116" i="15"/>
  <c r="B121" i="15" s="1"/>
  <c r="B126" i="15" s="1"/>
  <c r="B75" i="15"/>
  <c r="B115" i="15"/>
  <c r="B120" i="15" s="1"/>
  <c r="B125" i="15" s="1"/>
  <c r="H8" i="15"/>
  <c r="I7" i="14"/>
  <c r="H8" i="14"/>
  <c r="J8" i="18" l="1"/>
  <c r="I8" i="17"/>
  <c r="I92" i="16"/>
  <c r="I93" i="16"/>
  <c r="H9" i="16"/>
  <c r="I8" i="16"/>
  <c r="K157" i="16"/>
  <c r="J158" i="16"/>
  <c r="I8" i="15"/>
  <c r="I8" i="14"/>
  <c r="J7" i="14"/>
  <c r="K8" i="18" l="1"/>
  <c r="J8" i="17"/>
  <c r="J92" i="16"/>
  <c r="J93" i="16"/>
  <c r="I9" i="16"/>
  <c r="J8" i="16"/>
  <c r="K158" i="16"/>
  <c r="L157" i="16"/>
  <c r="J8" i="15"/>
  <c r="K7" i="14"/>
  <c r="J8" i="14"/>
  <c r="L8" i="18" l="1"/>
  <c r="K8" i="17"/>
  <c r="K92" i="16"/>
  <c r="K93" i="16"/>
  <c r="J9" i="16"/>
  <c r="K8" i="16"/>
  <c r="N157" i="16"/>
  <c r="M157" i="16"/>
  <c r="L158" i="16"/>
  <c r="K8" i="15"/>
  <c r="K8" i="14"/>
  <c r="L7" i="14"/>
  <c r="O11" i="5"/>
  <c r="O10" i="5"/>
  <c r="O9" i="5"/>
  <c r="O8" i="5"/>
  <c r="D8" i="13"/>
  <c r="E7" i="13"/>
  <c r="C4" i="13"/>
  <c r="C3" i="13"/>
  <c r="D8" i="12"/>
  <c r="E7" i="12"/>
  <c r="F7" i="12" s="1"/>
  <c r="G7" i="12" s="1"/>
  <c r="H7" i="12" s="1"/>
  <c r="I7" i="12" s="1"/>
  <c r="J7" i="12" s="1"/>
  <c r="K7" i="12" s="1"/>
  <c r="L7" i="12" s="1"/>
  <c r="M7" i="12" s="1"/>
  <c r="N7" i="12" s="1"/>
  <c r="C4" i="12"/>
  <c r="C3" i="12"/>
  <c r="M13" i="8"/>
  <c r="M12" i="8"/>
  <c r="K9" i="8"/>
  <c r="K8" i="8"/>
  <c r="H9" i="8"/>
  <c r="H8" i="8"/>
  <c r="F10" i="8"/>
  <c r="F9" i="8"/>
  <c r="E11" i="8"/>
  <c r="C4" i="8"/>
  <c r="C3" i="8"/>
  <c r="N10" i="7"/>
  <c r="O9" i="7"/>
  <c r="F10" i="7"/>
  <c r="E10" i="7"/>
  <c r="F9" i="7"/>
  <c r="E9" i="7"/>
  <c r="L10" i="7"/>
  <c r="M10" i="7" s="1"/>
  <c r="K10" i="7"/>
  <c r="M9" i="7"/>
  <c r="K9" i="7"/>
  <c r="C4" i="7"/>
  <c r="C3" i="7"/>
  <c r="L13" i="6"/>
  <c r="M13" i="6" s="1"/>
  <c r="M12" i="6"/>
  <c r="M10" i="6"/>
  <c r="M9" i="6"/>
  <c r="K13" i="6"/>
  <c r="K12" i="6"/>
  <c r="K10" i="6"/>
  <c r="K9" i="6"/>
  <c r="F13" i="6"/>
  <c r="D13" i="6"/>
  <c r="D12" i="6"/>
  <c r="F12" i="6"/>
  <c r="E10" i="6"/>
  <c r="E9" i="6"/>
  <c r="H10" i="6"/>
  <c r="H9" i="6"/>
  <c r="C4" i="6"/>
  <c r="C3" i="6"/>
  <c r="N24" i="5"/>
  <c r="N23" i="5"/>
  <c r="N22" i="5"/>
  <c r="N21" i="5"/>
  <c r="N17" i="5"/>
  <c r="N16" i="5"/>
  <c r="C4" i="5"/>
  <c r="C3" i="5"/>
  <c r="M8" i="18" l="1"/>
  <c r="L8" i="17"/>
  <c r="L92" i="16"/>
  <c r="L93" i="16"/>
  <c r="K9" i="16"/>
  <c r="L8" i="16"/>
  <c r="N158" i="16"/>
  <c r="M158" i="16"/>
  <c r="L8" i="15"/>
  <c r="M7" i="14"/>
  <c r="L8" i="14"/>
  <c r="C9" i="8"/>
  <c r="C10" i="8"/>
  <c r="E8" i="13"/>
  <c r="F7" i="13"/>
  <c r="E8" i="12"/>
  <c r="F11" i="8"/>
  <c r="D11" i="8"/>
  <c r="O10" i="7"/>
  <c r="F11" i="7"/>
  <c r="E12" i="6"/>
  <c r="C12" i="6" s="1"/>
  <c r="E13" i="6"/>
  <c r="C10" i="6"/>
  <c r="F14" i="6"/>
  <c r="C9" i="6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M8" i="17" l="1"/>
  <c r="M92" i="16"/>
  <c r="M93" i="16"/>
  <c r="L9" i="16"/>
  <c r="M8" i="16"/>
  <c r="M8" i="15"/>
  <c r="C11" i="8"/>
  <c r="M8" i="14"/>
  <c r="N7" i="14"/>
  <c r="F8" i="13"/>
  <c r="G7" i="13"/>
  <c r="F8" i="12"/>
  <c r="E11" i="7"/>
  <c r="N11" i="7" s="1"/>
  <c r="O11" i="7" s="1"/>
  <c r="E14" i="6"/>
  <c r="C13" i="6"/>
  <c r="D14" i="6"/>
  <c r="N8" i="17" l="1"/>
  <c r="N8" i="16"/>
  <c r="N92" i="16"/>
  <c r="N93" i="16"/>
  <c r="M9" i="16"/>
  <c r="N8" i="15"/>
  <c r="N8" i="14"/>
  <c r="G8" i="13"/>
  <c r="H7" i="13"/>
  <c r="G8" i="12"/>
  <c r="C14" i="6"/>
  <c r="L14" i="6" s="1"/>
  <c r="R11" i="2"/>
  <c r="R10" i="2"/>
  <c r="R9" i="2"/>
  <c r="N9" i="16" l="1"/>
  <c r="M14" i="6"/>
  <c r="H8" i="13"/>
  <c r="I7" i="13"/>
  <c r="H8" i="12"/>
  <c r="D20" i="2"/>
  <c r="D19" i="2"/>
  <c r="D18" i="2"/>
  <c r="D17" i="2"/>
  <c r="D12" i="2"/>
  <c r="D11" i="2"/>
  <c r="D10" i="2"/>
  <c r="D9" i="2"/>
  <c r="I8" i="13" l="1"/>
  <c r="J7" i="13"/>
  <c r="I8" i="12"/>
  <c r="R8" i="2"/>
  <c r="K7" i="13" l="1"/>
  <c r="J8" i="13"/>
  <c r="J8" i="12"/>
  <c r="Q25" i="1"/>
  <c r="E14" i="11"/>
  <c r="C4" i="11"/>
  <c r="C3" i="11"/>
  <c r="P23" i="1"/>
  <c r="T26" i="1"/>
  <c r="S26" i="1"/>
  <c r="R26" i="1"/>
  <c r="O20" i="1"/>
  <c r="T61" i="1"/>
  <c r="S61" i="1"/>
  <c r="R61" i="1"/>
  <c r="Q29" i="1"/>
  <c r="Q30" i="1" s="1"/>
  <c r="P29" i="1"/>
  <c r="P30" i="1" s="1"/>
  <c r="O29" i="1"/>
  <c r="O30" i="1" s="1"/>
  <c r="N29" i="1"/>
  <c r="N30" i="1" s="1"/>
  <c r="M29" i="1"/>
  <c r="M30" i="1" s="1"/>
  <c r="L29" i="1"/>
  <c r="L30" i="1" s="1"/>
  <c r="K29" i="1"/>
  <c r="K30" i="1" s="1"/>
  <c r="J29" i="1"/>
  <c r="J30" i="1" s="1"/>
  <c r="I29" i="1"/>
  <c r="I30" i="1" s="1"/>
  <c r="H29" i="1"/>
  <c r="H30" i="1" s="1"/>
  <c r="G29" i="1"/>
  <c r="G30" i="1" s="1"/>
  <c r="F29" i="1"/>
  <c r="F30" i="1" s="1"/>
  <c r="E29" i="1"/>
  <c r="E30" i="1" s="1"/>
  <c r="L23" i="1"/>
  <c r="G22" i="1"/>
  <c r="F22" i="1"/>
  <c r="T27" i="1"/>
  <c r="S27" i="1"/>
  <c r="R27" i="1"/>
  <c r="T25" i="1"/>
  <c r="S25" i="1"/>
  <c r="R25" i="1"/>
  <c r="T24" i="1"/>
  <c r="S24" i="1"/>
  <c r="R24" i="1"/>
  <c r="T23" i="1"/>
  <c r="S23" i="1"/>
  <c r="R23" i="1"/>
  <c r="T22" i="1"/>
  <c r="S22" i="1"/>
  <c r="T21" i="1"/>
  <c r="S21" i="1"/>
  <c r="R21" i="1"/>
  <c r="E22" i="1"/>
  <c r="K8" i="13" l="1"/>
  <c r="L7" i="13"/>
  <c r="K8" i="12"/>
  <c r="U61" i="1"/>
  <c r="U26" i="1"/>
  <c r="C23" i="11" s="1"/>
  <c r="D23" i="11" s="1"/>
  <c r="F23" i="11" s="1"/>
  <c r="U23" i="1"/>
  <c r="C20" i="11" s="1"/>
  <c r="D20" i="11" s="1"/>
  <c r="F20" i="11" s="1"/>
  <c r="U25" i="1"/>
  <c r="C22" i="11" s="1"/>
  <c r="D22" i="11" s="1"/>
  <c r="U24" i="1"/>
  <c r="C21" i="11" s="1"/>
  <c r="D21" i="11" s="1"/>
  <c r="F21" i="11" s="1"/>
  <c r="U21" i="1"/>
  <c r="C18" i="11" s="1"/>
  <c r="D18" i="11" s="1"/>
  <c r="U27" i="1"/>
  <c r="M7" i="13" l="1"/>
  <c r="L8" i="13"/>
  <c r="L8" i="12"/>
  <c r="F18" i="11"/>
  <c r="E22" i="11"/>
  <c r="E26" i="11" s="1"/>
  <c r="J40" i="10"/>
  <c r="L40" i="10" s="1"/>
  <c r="J39" i="10"/>
  <c r="K39" i="10" s="1"/>
  <c r="J12" i="10"/>
  <c r="L12" i="10" s="1"/>
  <c r="L9" i="10"/>
  <c r="K9" i="10"/>
  <c r="J35" i="10"/>
  <c r="L35" i="10" s="1"/>
  <c r="J34" i="10"/>
  <c r="L34" i="10" s="1"/>
  <c r="J33" i="10"/>
  <c r="L33" i="10" s="1"/>
  <c r="J29" i="10"/>
  <c r="L29" i="10" s="1"/>
  <c r="J28" i="10"/>
  <c r="L28" i="10" s="1"/>
  <c r="J24" i="10"/>
  <c r="L24" i="10" s="1"/>
  <c r="J23" i="10"/>
  <c r="L23" i="10" s="1"/>
  <c r="J19" i="10"/>
  <c r="L19" i="10" s="1"/>
  <c r="J18" i="10"/>
  <c r="L18" i="10" s="1"/>
  <c r="J16" i="10"/>
  <c r="L16" i="10" s="1"/>
  <c r="J11" i="10"/>
  <c r="L11" i="10" s="1"/>
  <c r="J10" i="10"/>
  <c r="L10" i="10" s="1"/>
  <c r="Q16" i="10"/>
  <c r="C30" i="10"/>
  <c r="Q15" i="10"/>
  <c r="Q20" i="10"/>
  <c r="Q24" i="10" s="1"/>
  <c r="Q32" i="10" s="1"/>
  <c r="Q19" i="10"/>
  <c r="Q23" i="10" s="1"/>
  <c r="Q27" i="10" s="1"/>
  <c r="R11" i="10"/>
  <c r="R12" i="10" s="1"/>
  <c r="O16" i="10"/>
  <c r="O24" i="10" s="1"/>
  <c r="O28" i="10" s="1"/>
  <c r="O15" i="10"/>
  <c r="O23" i="10" s="1"/>
  <c r="O27" i="10" s="1"/>
  <c r="P11" i="10"/>
  <c r="P12" i="10" l="1"/>
  <c r="Q14" i="18"/>
  <c r="Q88" i="18"/>
  <c r="M8" i="13"/>
  <c r="N7" i="13"/>
  <c r="M8" i="12"/>
  <c r="K12" i="10"/>
  <c r="F22" i="11"/>
  <c r="E24" i="11"/>
  <c r="L39" i="10"/>
  <c r="K40" i="10"/>
  <c r="K10" i="10"/>
  <c r="K11" i="10"/>
  <c r="Q28" i="10"/>
  <c r="Q31" i="10"/>
  <c r="O19" i="10"/>
  <c r="O20" i="10"/>
  <c r="N8" i="13" l="1"/>
  <c r="N8" i="12"/>
  <c r="E23" i="10"/>
  <c r="C24" i="10" s="1"/>
  <c r="E16" i="10"/>
  <c r="E9" i="10"/>
  <c r="C10" i="10" s="1"/>
  <c r="C4" i="9"/>
  <c r="C3" i="9"/>
  <c r="C4" i="2"/>
  <c r="C3" i="2"/>
  <c r="C4" i="10"/>
  <c r="C3" i="10"/>
  <c r="D13" i="2"/>
  <c r="D21" i="2"/>
  <c r="D7" i="1"/>
  <c r="C33" i="1"/>
  <c r="D33" i="1"/>
  <c r="D45" i="1" s="1"/>
  <c r="D51" i="1" s="1"/>
  <c r="E33" i="1"/>
  <c r="F33" i="1"/>
  <c r="F44" i="1" s="1"/>
  <c r="F50" i="1" s="1"/>
  <c r="G33" i="1"/>
  <c r="G44" i="1" s="1"/>
  <c r="H33" i="1"/>
  <c r="H44" i="1" s="1"/>
  <c r="I33" i="1"/>
  <c r="J33" i="1"/>
  <c r="K33" i="1"/>
  <c r="K44" i="1" s="1"/>
  <c r="L33" i="1"/>
  <c r="M33" i="1"/>
  <c r="N33" i="1"/>
  <c r="N47" i="1" s="1"/>
  <c r="O33" i="1"/>
  <c r="O44" i="1" s="1"/>
  <c r="P33" i="1"/>
  <c r="P44" i="1" s="1"/>
  <c r="P50" i="1" s="1"/>
  <c r="Q33" i="1"/>
  <c r="R38" i="1"/>
  <c r="S38" i="1"/>
  <c r="T38" i="1"/>
  <c r="R39" i="1"/>
  <c r="S39" i="1"/>
  <c r="T39" i="1"/>
  <c r="R40" i="1"/>
  <c r="S40" i="1"/>
  <c r="T40" i="1"/>
  <c r="R41" i="1"/>
  <c r="S41" i="1"/>
  <c r="T41" i="1"/>
  <c r="E44" i="1"/>
  <c r="E50" i="1" s="1"/>
  <c r="I44" i="1"/>
  <c r="I50" i="1" s="1"/>
  <c r="L44" i="1"/>
  <c r="L50" i="1" s="1"/>
  <c r="M44" i="1"/>
  <c r="N44" i="1"/>
  <c r="Q44" i="1"/>
  <c r="Q50" i="1" s="1"/>
  <c r="E45" i="1"/>
  <c r="E51" i="1" s="1"/>
  <c r="I45" i="1"/>
  <c r="I51" i="1" s="1"/>
  <c r="J45" i="1"/>
  <c r="K45" i="1"/>
  <c r="L45" i="1"/>
  <c r="L51" i="1" s="1"/>
  <c r="M45" i="1"/>
  <c r="N45" i="1"/>
  <c r="O45" i="1"/>
  <c r="O51" i="1" s="1"/>
  <c r="Q45" i="1"/>
  <c r="Q51" i="1" s="1"/>
  <c r="D46" i="1"/>
  <c r="D52" i="1" s="1"/>
  <c r="E46" i="1"/>
  <c r="E52" i="1" s="1"/>
  <c r="I46" i="1"/>
  <c r="I52" i="1" s="1"/>
  <c r="L46" i="1"/>
  <c r="L52" i="1" s="1"/>
  <c r="M46" i="1"/>
  <c r="Q46" i="1"/>
  <c r="Q52" i="1" s="1"/>
  <c r="E47" i="1"/>
  <c r="E53" i="1" s="1"/>
  <c r="I47" i="1"/>
  <c r="I53" i="1" s="1"/>
  <c r="L47" i="1"/>
  <c r="L53" i="1" s="1"/>
  <c r="M47" i="1"/>
  <c r="P47" i="1"/>
  <c r="P53" i="1" s="1"/>
  <c r="Q47" i="1"/>
  <c r="Q53" i="1" s="1"/>
  <c r="M50" i="1"/>
  <c r="M51" i="1"/>
  <c r="C20" i="1"/>
  <c r="C28" i="1" s="1"/>
  <c r="C29" i="1" s="1"/>
  <c r="C30" i="1" s="1"/>
  <c r="D20" i="1"/>
  <c r="E20" i="1"/>
  <c r="E60" i="1" s="1"/>
  <c r="F20" i="1"/>
  <c r="G20" i="1"/>
  <c r="G60" i="1" s="1"/>
  <c r="H20" i="1"/>
  <c r="I20" i="1"/>
  <c r="I60" i="1" s="1"/>
  <c r="J20" i="1"/>
  <c r="K20" i="1"/>
  <c r="K60" i="1" s="1"/>
  <c r="L20" i="1"/>
  <c r="M20" i="1"/>
  <c r="N20" i="1"/>
  <c r="P20" i="1"/>
  <c r="P60" i="1" s="1"/>
  <c r="Q20" i="1"/>
  <c r="Q60" i="1" s="1"/>
  <c r="S28" i="1"/>
  <c r="T28" i="1"/>
  <c r="T29" i="1" l="1"/>
  <c r="T30" i="1" s="1"/>
  <c r="Y26" i="1"/>
  <c r="Y25" i="1"/>
  <c r="Y24" i="1"/>
  <c r="Y22" i="1"/>
  <c r="Y20" i="1"/>
  <c r="Y27" i="1"/>
  <c r="Y23" i="1"/>
  <c r="Y21" i="1"/>
  <c r="S29" i="1"/>
  <c r="S30" i="1" s="1"/>
  <c r="X20" i="1"/>
  <c r="X27" i="1"/>
  <c r="X26" i="1"/>
  <c r="X25" i="1"/>
  <c r="X24" i="1"/>
  <c r="X23" i="1"/>
  <c r="X22" i="1"/>
  <c r="X21" i="1"/>
  <c r="D168" i="18"/>
  <c r="E168" i="18"/>
  <c r="F168" i="18"/>
  <c r="G168" i="18"/>
  <c r="H168" i="18"/>
  <c r="I168" i="18"/>
  <c r="J168" i="18"/>
  <c r="K168" i="18"/>
  <c r="L168" i="18"/>
  <c r="M168" i="18"/>
  <c r="D20" i="18"/>
  <c r="E20" i="18"/>
  <c r="F20" i="18"/>
  <c r="G20" i="18"/>
  <c r="H20" i="18"/>
  <c r="I20" i="18"/>
  <c r="J20" i="18"/>
  <c r="K20" i="18"/>
  <c r="L20" i="18"/>
  <c r="M20" i="18"/>
  <c r="E24" i="10"/>
  <c r="G177" i="18" s="1"/>
  <c r="T33" i="1"/>
  <c r="J47" i="1"/>
  <c r="N46" i="1"/>
  <c r="F19" i="5" s="1"/>
  <c r="F46" i="1"/>
  <c r="F52" i="1" s="1"/>
  <c r="P45" i="1"/>
  <c r="P51" i="1" s="1"/>
  <c r="G45" i="1"/>
  <c r="G51" i="1" s="1"/>
  <c r="L60" i="1"/>
  <c r="D60" i="1"/>
  <c r="F47" i="1"/>
  <c r="F53" i="1" s="1"/>
  <c r="P46" i="1"/>
  <c r="P52" i="1" s="1"/>
  <c r="J46" i="1"/>
  <c r="F45" i="1"/>
  <c r="F51" i="1" s="1"/>
  <c r="J44" i="1"/>
  <c r="E17" i="5" s="1"/>
  <c r="D44" i="1"/>
  <c r="D50" i="1" s="1"/>
  <c r="C44" i="1"/>
  <c r="D17" i="5" s="1"/>
  <c r="D9" i="11"/>
  <c r="J60" i="1"/>
  <c r="F60" i="1"/>
  <c r="D47" i="1"/>
  <c r="D53" i="1" s="1"/>
  <c r="H46" i="1"/>
  <c r="H52" i="1" s="1"/>
  <c r="J51" i="1"/>
  <c r="N50" i="1"/>
  <c r="F9" i="5" s="1"/>
  <c r="F17" i="5"/>
  <c r="J53" i="1"/>
  <c r="J52" i="1"/>
  <c r="E11" i="5" s="1"/>
  <c r="N51" i="1"/>
  <c r="F10" i="5" s="1"/>
  <c r="F18" i="5"/>
  <c r="N53" i="1"/>
  <c r="F12" i="5" s="1"/>
  <c r="F20" i="5"/>
  <c r="J50" i="1"/>
  <c r="E17" i="2"/>
  <c r="F10" i="2"/>
  <c r="F9" i="2"/>
  <c r="F18" i="2"/>
  <c r="F17" i="2"/>
  <c r="M52" i="1"/>
  <c r="F11" i="2" s="1"/>
  <c r="F19" i="2"/>
  <c r="M53" i="1"/>
  <c r="F12" i="2" s="1"/>
  <c r="F20" i="2"/>
  <c r="O60" i="1"/>
  <c r="U39" i="1"/>
  <c r="N60" i="1"/>
  <c r="T51" i="1"/>
  <c r="T45" i="1"/>
  <c r="U41" i="1"/>
  <c r="S44" i="1"/>
  <c r="H50" i="1"/>
  <c r="S33" i="1"/>
  <c r="H47" i="1"/>
  <c r="E20" i="5" s="1"/>
  <c r="H45" i="1"/>
  <c r="E18" i="5" s="1"/>
  <c r="U38" i="1"/>
  <c r="M60" i="1"/>
  <c r="T20" i="1"/>
  <c r="H60" i="1"/>
  <c r="S20" i="1"/>
  <c r="U40" i="1"/>
  <c r="C45" i="1"/>
  <c r="C60" i="1"/>
  <c r="R20" i="1"/>
  <c r="C17" i="10"/>
  <c r="J34" i="1"/>
  <c r="J35" i="1" s="1"/>
  <c r="K51" i="1"/>
  <c r="L34" i="1"/>
  <c r="L35" i="1" s="1"/>
  <c r="E34" i="1"/>
  <c r="E35" i="1" s="1"/>
  <c r="N52" i="1"/>
  <c r="F11" i="5" s="1"/>
  <c r="N34" i="1"/>
  <c r="N35" i="1" s="1"/>
  <c r="I34" i="1"/>
  <c r="I35" i="1" s="1"/>
  <c r="M34" i="1"/>
  <c r="M35" i="1" s="1"/>
  <c r="T47" i="1"/>
  <c r="Q34" i="1"/>
  <c r="Q35" i="1" s="1"/>
  <c r="F34" i="1"/>
  <c r="F35" i="1" s="1"/>
  <c r="O50" i="1"/>
  <c r="K50" i="1"/>
  <c r="G50" i="1"/>
  <c r="O46" i="1"/>
  <c r="O52" i="1" s="1"/>
  <c r="K46" i="1"/>
  <c r="K52" i="1" s="1"/>
  <c r="G46" i="1"/>
  <c r="G52" i="1" s="1"/>
  <c r="C46" i="1"/>
  <c r="D19" i="5" s="1"/>
  <c r="R33" i="1"/>
  <c r="O47" i="1"/>
  <c r="O53" i="1" s="1"/>
  <c r="K47" i="1"/>
  <c r="K53" i="1" s="1"/>
  <c r="G47" i="1"/>
  <c r="G53" i="1" s="1"/>
  <c r="C47" i="1"/>
  <c r="D20" i="5" s="1"/>
  <c r="T44" i="1"/>
  <c r="P21" i="18" l="1"/>
  <c r="J102" i="13"/>
  <c r="F102" i="13"/>
  <c r="D102" i="13"/>
  <c r="K177" i="18"/>
  <c r="I177" i="18"/>
  <c r="E177" i="18"/>
  <c r="D94" i="18"/>
  <c r="E94" i="18"/>
  <c r="F94" i="18"/>
  <c r="G94" i="18"/>
  <c r="H94" i="18"/>
  <c r="I94" i="18"/>
  <c r="J94" i="18"/>
  <c r="K94" i="18"/>
  <c r="L94" i="18"/>
  <c r="M94" i="18"/>
  <c r="I242" i="18"/>
  <c r="F242" i="18"/>
  <c r="M102" i="13"/>
  <c r="I102" i="13"/>
  <c r="E102" i="13"/>
  <c r="L177" i="18"/>
  <c r="J177" i="18"/>
  <c r="D177" i="18"/>
  <c r="C25" i="10"/>
  <c r="J242" i="18"/>
  <c r="H242" i="18"/>
  <c r="E242" i="18"/>
  <c r="L102" i="13"/>
  <c r="H102" i="13"/>
  <c r="M177" i="18"/>
  <c r="H177" i="18"/>
  <c r="F177" i="18"/>
  <c r="M242" i="18"/>
  <c r="L242" i="18"/>
  <c r="K242" i="18"/>
  <c r="G242" i="18"/>
  <c r="K102" i="13"/>
  <c r="G102" i="13"/>
  <c r="E17" i="10"/>
  <c r="I103" i="18" s="1"/>
  <c r="E19" i="5"/>
  <c r="E9" i="5"/>
  <c r="T50" i="1"/>
  <c r="C50" i="1"/>
  <c r="D9" i="5" s="1"/>
  <c r="C9" i="5" s="1"/>
  <c r="E25" i="10"/>
  <c r="C26" i="10" s="1"/>
  <c r="C17" i="2"/>
  <c r="R44" i="1"/>
  <c r="U44" i="1" s="1"/>
  <c r="P34" i="1"/>
  <c r="P35" i="1" s="1"/>
  <c r="T35" i="1" s="1"/>
  <c r="U59" i="1"/>
  <c r="D13" i="11"/>
  <c r="F13" i="11" s="1"/>
  <c r="U57" i="1"/>
  <c r="D11" i="11"/>
  <c r="F11" i="11" s="1"/>
  <c r="D34" i="1"/>
  <c r="D35" i="1" s="1"/>
  <c r="U58" i="1"/>
  <c r="D12" i="11"/>
  <c r="F12" i="11" s="1"/>
  <c r="E21" i="5"/>
  <c r="C17" i="5"/>
  <c r="F9" i="11"/>
  <c r="T46" i="1"/>
  <c r="U56" i="1"/>
  <c r="D10" i="11"/>
  <c r="F10" i="11" s="1"/>
  <c r="C19" i="5"/>
  <c r="C51" i="1"/>
  <c r="D18" i="5"/>
  <c r="C20" i="5"/>
  <c r="F13" i="5"/>
  <c r="F21" i="5"/>
  <c r="H34" i="1"/>
  <c r="H35" i="1" s="1"/>
  <c r="T52" i="1"/>
  <c r="T34" i="1"/>
  <c r="S50" i="1"/>
  <c r="R45" i="1"/>
  <c r="T53" i="1"/>
  <c r="F21" i="2"/>
  <c r="F13" i="2"/>
  <c r="H53" i="1"/>
  <c r="E12" i="2" s="1"/>
  <c r="E20" i="2"/>
  <c r="E19" i="2"/>
  <c r="E9" i="2"/>
  <c r="E11" i="2"/>
  <c r="H51" i="1"/>
  <c r="E10" i="5" s="1"/>
  <c r="E18" i="2"/>
  <c r="U20" i="1"/>
  <c r="S45" i="1"/>
  <c r="S52" i="1"/>
  <c r="R50" i="1"/>
  <c r="R46" i="1"/>
  <c r="C52" i="1"/>
  <c r="S46" i="1"/>
  <c r="C34" i="1"/>
  <c r="K34" i="1"/>
  <c r="R47" i="1"/>
  <c r="C53" i="1"/>
  <c r="G34" i="1"/>
  <c r="G35" i="1" s="1"/>
  <c r="O34" i="1"/>
  <c r="O35" i="1" s="1"/>
  <c r="U33" i="1"/>
  <c r="S47" i="1"/>
  <c r="P95" i="18" l="1"/>
  <c r="K68" i="13"/>
  <c r="H68" i="13"/>
  <c r="G68" i="13"/>
  <c r="M103" i="18"/>
  <c r="G103" i="18"/>
  <c r="E103" i="18"/>
  <c r="D142" i="16"/>
  <c r="D147" i="16"/>
  <c r="D163" i="16" s="1"/>
  <c r="D125" i="14"/>
  <c r="D127" i="14"/>
  <c r="D123" i="14"/>
  <c r="D115" i="15"/>
  <c r="D146" i="16"/>
  <c r="D124" i="14"/>
  <c r="D126" i="14"/>
  <c r="D116" i="15"/>
  <c r="E146" i="16"/>
  <c r="E125" i="14"/>
  <c r="E124" i="14"/>
  <c r="E147" i="16"/>
  <c r="E163" i="16" s="1"/>
  <c r="E116" i="15"/>
  <c r="E115" i="15"/>
  <c r="E127" i="14"/>
  <c r="E142" i="16"/>
  <c r="E126" i="14"/>
  <c r="E123" i="14"/>
  <c r="F116" i="15"/>
  <c r="F146" i="16"/>
  <c r="F124" i="14"/>
  <c r="F115" i="15"/>
  <c r="F147" i="16"/>
  <c r="F163" i="16" s="1"/>
  <c r="F127" i="14"/>
  <c r="F125" i="14"/>
  <c r="F142" i="16"/>
  <c r="F126" i="14"/>
  <c r="F123" i="14"/>
  <c r="F131" i="14" s="1"/>
  <c r="G126" i="14"/>
  <c r="G115" i="15"/>
  <c r="G124" i="14"/>
  <c r="G146" i="16"/>
  <c r="G127" i="14"/>
  <c r="G116" i="15"/>
  <c r="G123" i="14"/>
  <c r="G125" i="14"/>
  <c r="G142" i="16"/>
  <c r="G147" i="16"/>
  <c r="G163" i="16" s="1"/>
  <c r="H124" i="14"/>
  <c r="H123" i="14"/>
  <c r="H131" i="14" s="1"/>
  <c r="H116" i="15"/>
  <c r="H142" i="16"/>
  <c r="H147" i="16"/>
  <c r="H163" i="16" s="1"/>
  <c r="H126" i="14"/>
  <c r="H132" i="14" s="1"/>
  <c r="H125" i="14"/>
  <c r="H127" i="14"/>
  <c r="H115" i="15"/>
  <c r="H146" i="16"/>
  <c r="I116" i="15"/>
  <c r="I115" i="15"/>
  <c r="I127" i="14"/>
  <c r="I142" i="16"/>
  <c r="I126" i="14"/>
  <c r="I123" i="14"/>
  <c r="I146" i="16"/>
  <c r="I125" i="14"/>
  <c r="I124" i="14"/>
  <c r="I147" i="16"/>
  <c r="I163" i="16" s="1"/>
  <c r="J126" i="14"/>
  <c r="J123" i="14"/>
  <c r="J131" i="14" s="1"/>
  <c r="J142" i="16"/>
  <c r="J116" i="15"/>
  <c r="J124" i="14"/>
  <c r="J146" i="16"/>
  <c r="J127" i="14"/>
  <c r="J125" i="14"/>
  <c r="J147" i="16"/>
  <c r="J163" i="16" s="1"/>
  <c r="J115" i="15"/>
  <c r="D86" i="13"/>
  <c r="K127" i="14"/>
  <c r="D127" i="12"/>
  <c r="D128" i="12"/>
  <c r="D135" i="12"/>
  <c r="D136" i="12"/>
  <c r="K146" i="16"/>
  <c r="D91" i="13"/>
  <c r="D79" i="13"/>
  <c r="D80" i="13" s="1"/>
  <c r="K123" i="14"/>
  <c r="D129" i="12"/>
  <c r="D130" i="12"/>
  <c r="D123" i="12"/>
  <c r="D124" i="12" s="1"/>
  <c r="K116" i="15"/>
  <c r="D90" i="13"/>
  <c r="D85" i="13"/>
  <c r="D89" i="13"/>
  <c r="K125" i="14"/>
  <c r="K142" i="16"/>
  <c r="K147" i="16"/>
  <c r="K163" i="16" s="1"/>
  <c r="D84" i="13"/>
  <c r="D92" i="13"/>
  <c r="D83" i="13"/>
  <c r="K124" i="14"/>
  <c r="K126" i="14"/>
  <c r="D133" i="12"/>
  <c r="D134" i="12"/>
  <c r="K115" i="15"/>
  <c r="L115" i="15"/>
  <c r="E129" i="12"/>
  <c r="E136" i="12"/>
  <c r="E133" i="12"/>
  <c r="L123" i="14"/>
  <c r="E92" i="13"/>
  <c r="E83" i="13"/>
  <c r="L142" i="16"/>
  <c r="L147" i="16"/>
  <c r="L163" i="16" s="1"/>
  <c r="E130" i="12"/>
  <c r="E127" i="12"/>
  <c r="L126" i="14"/>
  <c r="E86" i="13"/>
  <c r="L116" i="15"/>
  <c r="E134" i="12"/>
  <c r="E123" i="12"/>
  <c r="L125" i="14"/>
  <c r="E91" i="13"/>
  <c r="E79" i="13"/>
  <c r="E80" i="13" s="1"/>
  <c r="E84" i="13"/>
  <c r="E90" i="13"/>
  <c r="L146" i="16"/>
  <c r="E128" i="12"/>
  <c r="E135" i="12"/>
  <c r="L124" i="14"/>
  <c r="L127" i="14"/>
  <c r="E85" i="13"/>
  <c r="E89" i="13"/>
  <c r="M125" i="14"/>
  <c r="M124" i="14"/>
  <c r="F129" i="12"/>
  <c r="F136" i="12"/>
  <c r="F128" i="12"/>
  <c r="F92" i="13"/>
  <c r="F83" i="13"/>
  <c r="F91" i="13"/>
  <c r="F85" i="13"/>
  <c r="M147" i="16"/>
  <c r="M163" i="16" s="1"/>
  <c r="F130" i="12"/>
  <c r="F133" i="12"/>
  <c r="F86" i="13"/>
  <c r="F90" i="13"/>
  <c r="M142" i="16"/>
  <c r="M127" i="14"/>
  <c r="F123" i="12"/>
  <c r="F127" i="12"/>
  <c r="M116" i="15"/>
  <c r="M115" i="15"/>
  <c r="F79" i="13"/>
  <c r="F80" i="13" s="1"/>
  <c r="F84" i="13"/>
  <c r="M146" i="16"/>
  <c r="M126" i="14"/>
  <c r="M123" i="14"/>
  <c r="M131" i="14" s="1"/>
  <c r="F135" i="12"/>
  <c r="F134" i="12"/>
  <c r="F89" i="13"/>
  <c r="N116" i="15"/>
  <c r="G83" i="13"/>
  <c r="G91" i="13"/>
  <c r="G92" i="13"/>
  <c r="N147" i="16"/>
  <c r="N163" i="16" s="1"/>
  <c r="N127" i="14"/>
  <c r="N125" i="14"/>
  <c r="G136" i="12"/>
  <c r="G135" i="12"/>
  <c r="G90" i="13"/>
  <c r="G85" i="13"/>
  <c r="N142" i="16"/>
  <c r="N126" i="14"/>
  <c r="N123" i="14"/>
  <c r="G130" i="12"/>
  <c r="G133" i="12"/>
  <c r="G134" i="12"/>
  <c r="N115" i="15"/>
  <c r="G84" i="13"/>
  <c r="G86" i="13"/>
  <c r="G123" i="12"/>
  <c r="G127" i="12"/>
  <c r="G128" i="12"/>
  <c r="G89" i="13"/>
  <c r="G79" i="13"/>
  <c r="G80" i="13" s="1"/>
  <c r="N146" i="16"/>
  <c r="N124" i="14"/>
  <c r="G129" i="12"/>
  <c r="H90" i="13"/>
  <c r="H85" i="13"/>
  <c r="H128" i="12"/>
  <c r="H135" i="12"/>
  <c r="H123" i="12"/>
  <c r="H84" i="13"/>
  <c r="H92" i="13"/>
  <c r="H129" i="12"/>
  <c r="H136" i="12"/>
  <c r="H86" i="13"/>
  <c r="H89" i="13"/>
  <c r="H133" i="12"/>
  <c r="H91" i="13"/>
  <c r="H79" i="13"/>
  <c r="H83" i="13"/>
  <c r="H127" i="12"/>
  <c r="H134" i="12"/>
  <c r="H130" i="12"/>
  <c r="I134" i="12"/>
  <c r="I123" i="12"/>
  <c r="I85" i="13"/>
  <c r="I89" i="13"/>
  <c r="I84" i="13"/>
  <c r="I128" i="12"/>
  <c r="I135" i="12"/>
  <c r="I92" i="13"/>
  <c r="I83" i="13"/>
  <c r="I129" i="12"/>
  <c r="I136" i="12"/>
  <c r="I86" i="13"/>
  <c r="I130" i="12"/>
  <c r="I133" i="12"/>
  <c r="I127" i="12"/>
  <c r="I91" i="13"/>
  <c r="I79" i="13"/>
  <c r="I90" i="13"/>
  <c r="J135" i="12"/>
  <c r="J86" i="13"/>
  <c r="J90" i="13"/>
  <c r="J129" i="12"/>
  <c r="J136" i="12"/>
  <c r="J79" i="13"/>
  <c r="J84" i="13"/>
  <c r="J130" i="12"/>
  <c r="J133" i="12"/>
  <c r="J134" i="12"/>
  <c r="J89" i="13"/>
  <c r="J91" i="13"/>
  <c r="J123" i="12"/>
  <c r="J127" i="12"/>
  <c r="J128" i="12"/>
  <c r="J92" i="13"/>
  <c r="J83" i="13"/>
  <c r="J85" i="13"/>
  <c r="K90" i="13"/>
  <c r="K85" i="13"/>
  <c r="K123" i="12"/>
  <c r="K127" i="12"/>
  <c r="K134" i="12"/>
  <c r="K129" i="12"/>
  <c r="K89" i="13"/>
  <c r="K84" i="13"/>
  <c r="K92" i="13"/>
  <c r="K79" i="13"/>
  <c r="K80" i="13" s="1"/>
  <c r="K86" i="13"/>
  <c r="K128" i="12"/>
  <c r="K83" i="13"/>
  <c r="K136" i="12"/>
  <c r="K91" i="13"/>
  <c r="K130" i="12"/>
  <c r="K133" i="12"/>
  <c r="K135" i="12"/>
  <c r="L128" i="12"/>
  <c r="L135" i="12"/>
  <c r="L136" i="12"/>
  <c r="L91" i="13"/>
  <c r="L129" i="12"/>
  <c r="L130" i="12"/>
  <c r="L90" i="13"/>
  <c r="L85" i="13"/>
  <c r="L83" i="13"/>
  <c r="L133" i="12"/>
  <c r="L84" i="13"/>
  <c r="L92" i="13"/>
  <c r="L79" i="13"/>
  <c r="L80" i="13" s="1"/>
  <c r="L127" i="12"/>
  <c r="L134" i="12"/>
  <c r="L123" i="12"/>
  <c r="L86" i="13"/>
  <c r="L89" i="13"/>
  <c r="M134" i="12"/>
  <c r="M123" i="12"/>
  <c r="M85" i="13"/>
  <c r="M89" i="13"/>
  <c r="M128" i="12"/>
  <c r="M135" i="12"/>
  <c r="M92" i="13"/>
  <c r="M83" i="13"/>
  <c r="M129" i="12"/>
  <c r="M136" i="12"/>
  <c r="M133" i="12"/>
  <c r="M86" i="13"/>
  <c r="M90" i="13"/>
  <c r="M130" i="12"/>
  <c r="M127" i="12"/>
  <c r="M91" i="13"/>
  <c r="M79" i="13"/>
  <c r="M84" i="13"/>
  <c r="N129" i="12"/>
  <c r="N136" i="12"/>
  <c r="N79" i="13"/>
  <c r="N80" i="13" s="1"/>
  <c r="N89" i="13"/>
  <c r="N84" i="13"/>
  <c r="N91" i="13"/>
  <c r="N83" i="13"/>
  <c r="N130" i="12"/>
  <c r="N133" i="12"/>
  <c r="N85" i="13"/>
  <c r="N123" i="12"/>
  <c r="N127" i="12"/>
  <c r="N134" i="12"/>
  <c r="N92" i="13"/>
  <c r="N135" i="12"/>
  <c r="N128" i="12"/>
  <c r="N86" i="13"/>
  <c r="N90" i="13"/>
  <c r="J68" i="13"/>
  <c r="F68" i="13"/>
  <c r="L103" i="18"/>
  <c r="K103" i="18"/>
  <c r="M68" i="13"/>
  <c r="I68" i="13"/>
  <c r="E68" i="13"/>
  <c r="H103" i="18"/>
  <c r="L68" i="13"/>
  <c r="D68" i="13"/>
  <c r="J103" i="18"/>
  <c r="F103" i="18"/>
  <c r="D103" i="18"/>
  <c r="D242" i="18"/>
  <c r="K132" i="14"/>
  <c r="J11" i="11"/>
  <c r="I80" i="13"/>
  <c r="N184" i="16"/>
  <c r="J80" i="13"/>
  <c r="L179" i="16"/>
  <c r="J162" i="16"/>
  <c r="J172" i="16" s="1"/>
  <c r="J179" i="16"/>
  <c r="J184" i="16"/>
  <c r="I162" i="16"/>
  <c r="I167" i="16" s="1"/>
  <c r="I179" i="16"/>
  <c r="I184" i="16"/>
  <c r="H162" i="16"/>
  <c r="H179" i="16"/>
  <c r="H184" i="16"/>
  <c r="E162" i="16"/>
  <c r="E172" i="16" s="1"/>
  <c r="E179" i="16"/>
  <c r="E184" i="16"/>
  <c r="N162" i="16"/>
  <c r="N172" i="16" s="1"/>
  <c r="N179" i="16"/>
  <c r="L162" i="16"/>
  <c r="L184" i="16"/>
  <c r="K162" i="16"/>
  <c r="K167" i="16" s="1"/>
  <c r="K184" i="16"/>
  <c r="K179" i="16"/>
  <c r="F162" i="16"/>
  <c r="F164" i="16" s="1"/>
  <c r="F179" i="16"/>
  <c r="F184" i="16"/>
  <c r="M162" i="16"/>
  <c r="M179" i="16"/>
  <c r="M184" i="16"/>
  <c r="D162" i="16"/>
  <c r="D172" i="16" s="1"/>
  <c r="D179" i="16"/>
  <c r="D184" i="16"/>
  <c r="G162" i="16"/>
  <c r="G167" i="16" s="1"/>
  <c r="G184" i="16"/>
  <c r="G179" i="16"/>
  <c r="L173" i="16"/>
  <c r="L168" i="16"/>
  <c r="J173" i="16"/>
  <c r="J168" i="16"/>
  <c r="I172" i="16"/>
  <c r="H172" i="16"/>
  <c r="H167" i="16"/>
  <c r="F173" i="16"/>
  <c r="F168" i="16"/>
  <c r="E167" i="16"/>
  <c r="L172" i="16"/>
  <c r="L167" i="16"/>
  <c r="I173" i="16"/>
  <c r="I168" i="16"/>
  <c r="E173" i="16"/>
  <c r="E168" i="16"/>
  <c r="D173" i="16"/>
  <c r="D168" i="16"/>
  <c r="M172" i="16"/>
  <c r="M167" i="16"/>
  <c r="H173" i="16"/>
  <c r="H168" i="16"/>
  <c r="H169" i="16" s="1"/>
  <c r="H180" i="16" s="1"/>
  <c r="N173" i="16"/>
  <c r="N168" i="16"/>
  <c r="M173" i="16"/>
  <c r="M168" i="16"/>
  <c r="K173" i="16"/>
  <c r="K168" i="16"/>
  <c r="G173" i="16"/>
  <c r="G168" i="16"/>
  <c r="M119" i="14"/>
  <c r="M120" i="15"/>
  <c r="M125" i="15"/>
  <c r="M111" i="15"/>
  <c r="J143" i="16"/>
  <c r="I120" i="15"/>
  <c r="I125" i="15"/>
  <c r="I111" i="15"/>
  <c r="H126" i="15"/>
  <c r="H121" i="15"/>
  <c r="F119" i="14"/>
  <c r="E132" i="14"/>
  <c r="D125" i="15"/>
  <c r="D120" i="15"/>
  <c r="D111" i="15"/>
  <c r="L126" i="15"/>
  <c r="L121" i="15"/>
  <c r="K119" i="14"/>
  <c r="K121" i="15"/>
  <c r="K126" i="15"/>
  <c r="J119" i="14"/>
  <c r="I132" i="14"/>
  <c r="I126" i="15"/>
  <c r="I121" i="15"/>
  <c r="H125" i="15"/>
  <c r="H127" i="15" s="1"/>
  <c r="H120" i="15"/>
  <c r="H111" i="15"/>
  <c r="H143" i="16"/>
  <c r="G125" i="15"/>
  <c r="G120" i="15"/>
  <c r="G111" i="15"/>
  <c r="F132" i="14"/>
  <c r="E143" i="16"/>
  <c r="D126" i="15"/>
  <c r="D121" i="15"/>
  <c r="D143" i="16"/>
  <c r="N121" i="15"/>
  <c r="N126" i="15"/>
  <c r="M126" i="15"/>
  <c r="M121" i="15"/>
  <c r="M164" i="16"/>
  <c r="K125" i="15"/>
  <c r="K127" i="15" s="1"/>
  <c r="K120" i="15"/>
  <c r="K111" i="15"/>
  <c r="I143" i="16"/>
  <c r="F121" i="15"/>
  <c r="F126" i="15"/>
  <c r="C18" i="10"/>
  <c r="N132" i="14"/>
  <c r="N143" i="16"/>
  <c r="M143" i="16"/>
  <c r="L119" i="14"/>
  <c r="K143" i="16"/>
  <c r="J121" i="15"/>
  <c r="J126" i="15"/>
  <c r="H164" i="16"/>
  <c r="G121" i="15"/>
  <c r="G126" i="15"/>
  <c r="G132" i="14"/>
  <c r="G143" i="16"/>
  <c r="E120" i="15"/>
  <c r="E125" i="15"/>
  <c r="E111" i="15"/>
  <c r="D119" i="14"/>
  <c r="N119" i="14"/>
  <c r="N120" i="15"/>
  <c r="N122" i="15" s="1"/>
  <c r="N125" i="15"/>
  <c r="N111" i="15"/>
  <c r="M132" i="14"/>
  <c r="L132" i="14"/>
  <c r="L125" i="15"/>
  <c r="L120" i="15"/>
  <c r="L111" i="15"/>
  <c r="L164" i="16"/>
  <c r="L143" i="16"/>
  <c r="J120" i="15"/>
  <c r="J125" i="15"/>
  <c r="J127" i="15" s="1"/>
  <c r="J111" i="15"/>
  <c r="I119" i="14"/>
  <c r="H119" i="14"/>
  <c r="G119" i="14"/>
  <c r="F143" i="16"/>
  <c r="F120" i="15"/>
  <c r="F125" i="15"/>
  <c r="F127" i="15" s="1"/>
  <c r="F111" i="15"/>
  <c r="E126" i="15"/>
  <c r="E121" i="15"/>
  <c r="E119" i="14"/>
  <c r="D132" i="14"/>
  <c r="L124" i="12"/>
  <c r="E12" i="5"/>
  <c r="E13" i="5" s="1"/>
  <c r="J10" i="11" s="1"/>
  <c r="J141" i="12"/>
  <c r="F141" i="12"/>
  <c r="F146" i="12" s="1"/>
  <c r="M141" i="12"/>
  <c r="M146" i="12" s="1"/>
  <c r="I141" i="12"/>
  <c r="E141" i="12"/>
  <c r="E146" i="12" s="1"/>
  <c r="N141" i="12"/>
  <c r="N146" i="12" s="1"/>
  <c r="L141" i="12"/>
  <c r="L146" i="12" s="1"/>
  <c r="H141" i="12"/>
  <c r="H146" i="12" s="1"/>
  <c r="D141" i="12"/>
  <c r="D146" i="12" s="1"/>
  <c r="K141" i="12"/>
  <c r="K146" i="12" s="1"/>
  <c r="G141" i="12"/>
  <c r="G146" i="12" s="1"/>
  <c r="N124" i="12"/>
  <c r="K124" i="12"/>
  <c r="I124" i="12"/>
  <c r="G124" i="12"/>
  <c r="E124" i="12"/>
  <c r="J124" i="12"/>
  <c r="H124" i="12"/>
  <c r="F124" i="12"/>
  <c r="M124" i="12"/>
  <c r="L156" i="12"/>
  <c r="J156" i="12"/>
  <c r="F156" i="12"/>
  <c r="D156" i="12"/>
  <c r="I146" i="12"/>
  <c r="M156" i="12"/>
  <c r="I156" i="12"/>
  <c r="E156" i="12"/>
  <c r="J146" i="12"/>
  <c r="H156" i="12"/>
  <c r="K156" i="12"/>
  <c r="G156" i="12"/>
  <c r="C19" i="2"/>
  <c r="C20" i="2"/>
  <c r="C11" i="2"/>
  <c r="C12" i="2"/>
  <c r="U45" i="1"/>
  <c r="I8" i="5"/>
  <c r="I8" i="2"/>
  <c r="I11" i="5"/>
  <c r="I11" i="2"/>
  <c r="U60" i="1"/>
  <c r="I10" i="5"/>
  <c r="I10" i="2"/>
  <c r="D14" i="11"/>
  <c r="F14" i="11" s="1"/>
  <c r="I9" i="5"/>
  <c r="I9" i="2"/>
  <c r="C18" i="5"/>
  <c r="C21" i="5" s="1"/>
  <c r="D21" i="5"/>
  <c r="D10" i="5"/>
  <c r="R51" i="1"/>
  <c r="R53" i="1"/>
  <c r="D12" i="5"/>
  <c r="C12" i="5" s="1"/>
  <c r="R52" i="1"/>
  <c r="U52" i="1" s="1"/>
  <c r="D11" i="5"/>
  <c r="C11" i="5" s="1"/>
  <c r="U50" i="1"/>
  <c r="S53" i="1"/>
  <c r="C18" i="2"/>
  <c r="E21" i="2"/>
  <c r="S51" i="1"/>
  <c r="E10" i="2"/>
  <c r="C9" i="2"/>
  <c r="R34" i="1"/>
  <c r="C35" i="1"/>
  <c r="R35" i="1" s="1"/>
  <c r="U47" i="1"/>
  <c r="K35" i="1"/>
  <c r="S35" i="1" s="1"/>
  <c r="S34" i="1"/>
  <c r="U46" i="1"/>
  <c r="P102" i="18" l="1"/>
  <c r="J122" i="15"/>
  <c r="D45" i="17"/>
  <c r="D81" i="16"/>
  <c r="D72" i="14"/>
  <c r="D73" i="14"/>
  <c r="D65" i="15"/>
  <c r="D70" i="14"/>
  <c r="D66" i="15"/>
  <c r="D77" i="16"/>
  <c r="D78" i="16" s="1"/>
  <c r="D82" i="16"/>
  <c r="D98" i="16" s="1"/>
  <c r="D42" i="17"/>
  <c r="D43" i="17" s="1"/>
  <c r="D71" i="14"/>
  <c r="D69" i="14"/>
  <c r="E65" i="15"/>
  <c r="E73" i="14"/>
  <c r="E77" i="16"/>
  <c r="E78" i="16" s="1"/>
  <c r="E82" i="16"/>
  <c r="E98" i="16" s="1"/>
  <c r="E66" i="15"/>
  <c r="E72" i="14"/>
  <c r="E69" i="14"/>
  <c r="E71" i="14"/>
  <c r="E42" i="17"/>
  <c r="E43" i="17" s="1"/>
  <c r="E81" i="16"/>
  <c r="E45" i="17"/>
  <c r="E70" i="14"/>
  <c r="F65" i="15"/>
  <c r="F73" i="14"/>
  <c r="F70" i="14"/>
  <c r="F66" i="15"/>
  <c r="F82" i="16"/>
  <c r="F98" i="16" s="1"/>
  <c r="F69" i="14"/>
  <c r="F42" i="17"/>
  <c r="F43" i="17" s="1"/>
  <c r="F77" i="16"/>
  <c r="F78" i="16" s="1"/>
  <c r="F45" i="17"/>
  <c r="F81" i="16"/>
  <c r="F72" i="14"/>
  <c r="F71" i="14"/>
  <c r="G66" i="15"/>
  <c r="G70" i="14"/>
  <c r="G81" i="16"/>
  <c r="G65" i="15"/>
  <c r="G73" i="14"/>
  <c r="G82" i="16"/>
  <c r="G98" i="16" s="1"/>
  <c r="G42" i="17"/>
  <c r="G43" i="17" s="1"/>
  <c r="G71" i="14"/>
  <c r="G69" i="14"/>
  <c r="G77" i="16"/>
  <c r="G78" i="16" s="1"/>
  <c r="G45" i="17"/>
  <c r="G72" i="14"/>
  <c r="H72" i="14"/>
  <c r="H42" i="17"/>
  <c r="H43" i="17" s="1"/>
  <c r="H66" i="15"/>
  <c r="H77" i="16"/>
  <c r="H78" i="16" s="1"/>
  <c r="H82" i="16"/>
  <c r="H98" i="16" s="1"/>
  <c r="H71" i="14"/>
  <c r="H70" i="14"/>
  <c r="H69" i="14"/>
  <c r="H45" i="17"/>
  <c r="H73" i="14"/>
  <c r="H81" i="16"/>
  <c r="H65" i="15"/>
  <c r="I81" i="16"/>
  <c r="I70" i="14"/>
  <c r="I42" i="17"/>
  <c r="I43" i="17" s="1"/>
  <c r="I65" i="15"/>
  <c r="I73" i="14"/>
  <c r="I77" i="16"/>
  <c r="I78" i="16" s="1"/>
  <c r="I82" i="16"/>
  <c r="I98" i="16" s="1"/>
  <c r="I45" i="17"/>
  <c r="I66" i="15"/>
  <c r="I72" i="14"/>
  <c r="I69" i="14"/>
  <c r="I71" i="14"/>
  <c r="J72" i="14"/>
  <c r="J71" i="14"/>
  <c r="J81" i="16"/>
  <c r="J73" i="14"/>
  <c r="J70" i="14"/>
  <c r="J65" i="15"/>
  <c r="J69" i="14"/>
  <c r="J82" i="16"/>
  <c r="J98" i="16" s="1"/>
  <c r="J66" i="15"/>
  <c r="J42" i="17"/>
  <c r="J43" i="17" s="1"/>
  <c r="J77" i="16"/>
  <c r="J78" i="16" s="1"/>
  <c r="J45" i="17"/>
  <c r="D50" i="13"/>
  <c r="D58" i="13"/>
  <c r="D45" i="13"/>
  <c r="K71" i="14"/>
  <c r="K73" i="14"/>
  <c r="K72" i="14"/>
  <c r="D67" i="12"/>
  <c r="K82" i="16"/>
  <c r="K98" i="16" s="1"/>
  <c r="D55" i="13"/>
  <c r="D52" i="13"/>
  <c r="K69" i="14"/>
  <c r="D78" i="12"/>
  <c r="D79" i="12"/>
  <c r="D71" i="12"/>
  <c r="K77" i="16"/>
  <c r="K78" i="16" s="1"/>
  <c r="D49" i="13"/>
  <c r="D57" i="13"/>
  <c r="K42" i="17"/>
  <c r="K43" i="17" s="1"/>
  <c r="K70" i="14"/>
  <c r="D72" i="12"/>
  <c r="D73" i="12"/>
  <c r="D80" i="12"/>
  <c r="D77" i="12"/>
  <c r="K66" i="15"/>
  <c r="D56" i="13"/>
  <c r="D51" i="13"/>
  <c r="K45" i="17"/>
  <c r="D74" i="12"/>
  <c r="K65" i="15"/>
  <c r="K81" i="16"/>
  <c r="L65" i="15"/>
  <c r="E79" i="12"/>
  <c r="E71" i="12"/>
  <c r="L71" i="14"/>
  <c r="L45" i="17"/>
  <c r="E56" i="13"/>
  <c r="E51" i="13"/>
  <c r="E55" i="13"/>
  <c r="L66" i="15"/>
  <c r="E73" i="12"/>
  <c r="E80" i="12"/>
  <c r="L70" i="14"/>
  <c r="E50" i="13"/>
  <c r="E58" i="13"/>
  <c r="E49" i="13"/>
  <c r="L81" i="16"/>
  <c r="E74" i="12"/>
  <c r="E78" i="12"/>
  <c r="L73" i="14"/>
  <c r="E52" i="13"/>
  <c r="E67" i="12"/>
  <c r="E77" i="12"/>
  <c r="E72" i="12"/>
  <c r="L72" i="14"/>
  <c r="L69" i="14"/>
  <c r="L42" i="17"/>
  <c r="L43" i="17" s="1"/>
  <c r="E57" i="13"/>
  <c r="E45" i="13"/>
  <c r="L77" i="16"/>
  <c r="L78" i="16" s="1"/>
  <c r="L82" i="16"/>
  <c r="L98" i="16" s="1"/>
  <c r="M73" i="14"/>
  <c r="F71" i="12"/>
  <c r="F72" i="12"/>
  <c r="M65" i="15"/>
  <c r="F51" i="13"/>
  <c r="F55" i="13"/>
  <c r="M72" i="14"/>
  <c r="M69" i="14"/>
  <c r="M71" i="14"/>
  <c r="F80" i="12"/>
  <c r="F79" i="12"/>
  <c r="M66" i="15"/>
  <c r="F58" i="13"/>
  <c r="F49" i="13"/>
  <c r="M81" i="16"/>
  <c r="M42" i="17"/>
  <c r="M43" i="17" s="1"/>
  <c r="M70" i="14"/>
  <c r="F74" i="12"/>
  <c r="F52" i="13"/>
  <c r="F56" i="13"/>
  <c r="M45" i="17"/>
  <c r="F67" i="12"/>
  <c r="F77" i="12"/>
  <c r="F78" i="12"/>
  <c r="F73" i="12"/>
  <c r="F57" i="13"/>
  <c r="F45" i="13"/>
  <c r="F50" i="13"/>
  <c r="M77" i="16"/>
  <c r="M82" i="16"/>
  <c r="M98" i="16" s="1"/>
  <c r="N65" i="15"/>
  <c r="G55" i="13"/>
  <c r="N77" i="16"/>
  <c r="N78" i="16" s="1"/>
  <c r="G71" i="12"/>
  <c r="G72" i="12"/>
  <c r="G73" i="12"/>
  <c r="N66" i="15"/>
  <c r="N42" i="17"/>
  <c r="N43" i="17" s="1"/>
  <c r="G58" i="13"/>
  <c r="G49" i="13"/>
  <c r="N81" i="16"/>
  <c r="N72" i="14"/>
  <c r="G80" i="12"/>
  <c r="N45" i="17"/>
  <c r="G52" i="13"/>
  <c r="G56" i="13"/>
  <c r="G57" i="13"/>
  <c r="N73" i="14"/>
  <c r="N70" i="14"/>
  <c r="G74" i="12"/>
  <c r="G67" i="12"/>
  <c r="G45" i="13"/>
  <c r="G50" i="13"/>
  <c r="G51" i="13"/>
  <c r="N82" i="16"/>
  <c r="N98" i="16" s="1"/>
  <c r="N69" i="14"/>
  <c r="N71" i="14"/>
  <c r="G77" i="12"/>
  <c r="G78" i="12"/>
  <c r="G79" i="12"/>
  <c r="H49" i="13"/>
  <c r="H57" i="13"/>
  <c r="H58" i="13"/>
  <c r="H52" i="13"/>
  <c r="H78" i="12"/>
  <c r="H67" i="12"/>
  <c r="H77" i="12"/>
  <c r="H56" i="13"/>
  <c r="H51" i="13"/>
  <c r="H45" i="13"/>
  <c r="H72" i="12"/>
  <c r="H79" i="12"/>
  <c r="H50" i="13"/>
  <c r="H73" i="12"/>
  <c r="H80" i="12"/>
  <c r="H71" i="12"/>
  <c r="H55" i="13"/>
  <c r="H74" i="12"/>
  <c r="I74" i="12"/>
  <c r="I72" i="12"/>
  <c r="I78" i="12"/>
  <c r="I57" i="13"/>
  <c r="I45" i="13"/>
  <c r="I49" i="13"/>
  <c r="I67" i="12"/>
  <c r="I77" i="12"/>
  <c r="I56" i="13"/>
  <c r="I51" i="13"/>
  <c r="I79" i="12"/>
  <c r="I71" i="12"/>
  <c r="I50" i="13"/>
  <c r="I58" i="13"/>
  <c r="I55" i="13"/>
  <c r="I73" i="12"/>
  <c r="I80" i="12"/>
  <c r="I52" i="13"/>
  <c r="J67" i="12"/>
  <c r="J77" i="12"/>
  <c r="J78" i="12"/>
  <c r="J58" i="13"/>
  <c r="J49" i="13"/>
  <c r="J71" i="12"/>
  <c r="J72" i="12"/>
  <c r="J73" i="12"/>
  <c r="J52" i="13"/>
  <c r="J80" i="12"/>
  <c r="J79" i="12"/>
  <c r="J57" i="13"/>
  <c r="J45" i="13"/>
  <c r="J56" i="13"/>
  <c r="J74" i="12"/>
  <c r="J51" i="13"/>
  <c r="J55" i="13"/>
  <c r="J50" i="13"/>
  <c r="K52" i="13"/>
  <c r="K49" i="13"/>
  <c r="K67" i="12"/>
  <c r="K45" i="13"/>
  <c r="K56" i="13"/>
  <c r="K77" i="12"/>
  <c r="K78" i="12"/>
  <c r="K80" i="12"/>
  <c r="K50" i="13"/>
  <c r="K57" i="13"/>
  <c r="K71" i="12"/>
  <c r="K72" i="12"/>
  <c r="K79" i="12"/>
  <c r="K74" i="12"/>
  <c r="K58" i="13"/>
  <c r="K55" i="13"/>
  <c r="K51" i="13"/>
  <c r="K73" i="12"/>
  <c r="L78" i="12"/>
  <c r="L67" i="12"/>
  <c r="L55" i="13"/>
  <c r="L72" i="12"/>
  <c r="L79" i="12"/>
  <c r="L77" i="12"/>
  <c r="L49" i="13"/>
  <c r="L57" i="13"/>
  <c r="L73" i="12"/>
  <c r="L80" i="12"/>
  <c r="L71" i="12"/>
  <c r="L56" i="13"/>
  <c r="L51" i="13"/>
  <c r="L58" i="13"/>
  <c r="L45" i="13"/>
  <c r="L74" i="12"/>
  <c r="L50" i="13"/>
  <c r="L52" i="13"/>
  <c r="M74" i="12"/>
  <c r="M57" i="13"/>
  <c r="M45" i="13"/>
  <c r="M67" i="12"/>
  <c r="M77" i="12"/>
  <c r="M56" i="13"/>
  <c r="M51" i="13"/>
  <c r="M49" i="13"/>
  <c r="M79" i="12"/>
  <c r="M71" i="12"/>
  <c r="M78" i="12"/>
  <c r="M50" i="13"/>
  <c r="M58" i="13"/>
  <c r="M73" i="12"/>
  <c r="M80" i="12"/>
  <c r="M72" i="12"/>
  <c r="M52" i="13"/>
  <c r="M55" i="13"/>
  <c r="N71" i="12"/>
  <c r="N72" i="12"/>
  <c r="N45" i="13"/>
  <c r="N50" i="13"/>
  <c r="N57" i="13"/>
  <c r="N55" i="13"/>
  <c r="N80" i="12"/>
  <c r="N85" i="12" s="1"/>
  <c r="N90" i="12" s="1"/>
  <c r="N79" i="12"/>
  <c r="N56" i="13"/>
  <c r="N74" i="12"/>
  <c r="N73" i="12"/>
  <c r="N51" i="13"/>
  <c r="N58" i="13"/>
  <c r="N49" i="13"/>
  <c r="N67" i="12"/>
  <c r="N68" i="12" s="1"/>
  <c r="N77" i="12"/>
  <c r="N78" i="12"/>
  <c r="N52" i="13"/>
  <c r="D167" i="16"/>
  <c r="M80" i="13"/>
  <c r="J132" i="14"/>
  <c r="G131" i="14"/>
  <c r="D131" i="14"/>
  <c r="D133" i="14" s="1"/>
  <c r="J161" i="12"/>
  <c r="H80" i="13"/>
  <c r="K95" i="13" s="1"/>
  <c r="N131" i="14"/>
  <c r="K131" i="14"/>
  <c r="I131" i="14"/>
  <c r="E131" i="14"/>
  <c r="L131" i="14"/>
  <c r="M95" i="13"/>
  <c r="D161" i="12"/>
  <c r="I161" i="12"/>
  <c r="G161" i="12"/>
  <c r="J95" i="13"/>
  <c r="H161" i="12"/>
  <c r="M161" i="12"/>
  <c r="K161" i="12"/>
  <c r="D95" i="13"/>
  <c r="L191" i="16"/>
  <c r="H191" i="16"/>
  <c r="D191" i="16"/>
  <c r="K191" i="16"/>
  <c r="G191" i="16"/>
  <c r="J191" i="16"/>
  <c r="F191" i="16"/>
  <c r="M191" i="16"/>
  <c r="I191" i="16"/>
  <c r="E191" i="16"/>
  <c r="L161" i="12"/>
  <c r="F161" i="12"/>
  <c r="E95" i="13"/>
  <c r="G95" i="13"/>
  <c r="E161" i="12"/>
  <c r="F95" i="13"/>
  <c r="G172" i="16"/>
  <c r="N167" i="16"/>
  <c r="N169" i="16" s="1"/>
  <c r="N180" i="16" s="1"/>
  <c r="F122" i="15"/>
  <c r="F130" i="15" s="1"/>
  <c r="I133" i="14"/>
  <c r="N127" i="15"/>
  <c r="N130" i="15" s="1"/>
  <c r="L169" i="16"/>
  <c r="L180" i="16" s="1"/>
  <c r="K172" i="16"/>
  <c r="H122" i="15"/>
  <c r="L122" i="15"/>
  <c r="J167" i="16"/>
  <c r="J169" i="16" s="1"/>
  <c r="J180" i="16" s="1"/>
  <c r="N164" i="16"/>
  <c r="K169" i="16"/>
  <c r="K180" i="16" s="1"/>
  <c r="K164" i="16"/>
  <c r="F167" i="16"/>
  <c r="F169" i="16" s="1"/>
  <c r="F180" i="16" s="1"/>
  <c r="F172" i="16"/>
  <c r="M169" i="16"/>
  <c r="M180" i="16" s="1"/>
  <c r="L127" i="15"/>
  <c r="K122" i="15"/>
  <c r="K130" i="15" s="1"/>
  <c r="G133" i="14"/>
  <c r="H133" i="14"/>
  <c r="N136" i="15"/>
  <c r="N112" i="15"/>
  <c r="N133" i="14"/>
  <c r="E127" i="15"/>
  <c r="J164" i="16"/>
  <c r="L133" i="14"/>
  <c r="D46" i="13"/>
  <c r="E46" i="13"/>
  <c r="G46" i="13"/>
  <c r="N46" i="13"/>
  <c r="L85" i="12"/>
  <c r="L90" i="12" s="1"/>
  <c r="F68" i="12"/>
  <c r="M85" i="12"/>
  <c r="M90" i="12" s="1"/>
  <c r="D68" i="12"/>
  <c r="G68" i="12"/>
  <c r="D46" i="17"/>
  <c r="E18" i="10"/>
  <c r="C19" i="10" s="1"/>
  <c r="K85" i="12"/>
  <c r="K90" i="12" s="1"/>
  <c r="M174" i="16"/>
  <c r="G136" i="15"/>
  <c r="G140" i="15"/>
  <c r="G112" i="15"/>
  <c r="J133" i="14"/>
  <c r="K133" i="14"/>
  <c r="D122" i="15"/>
  <c r="I122" i="15"/>
  <c r="M133" i="14"/>
  <c r="E133" i="14"/>
  <c r="H152" i="14"/>
  <c r="H120" i="14"/>
  <c r="H148" i="14"/>
  <c r="H136" i="14" s="1"/>
  <c r="J136" i="15"/>
  <c r="J112" i="15"/>
  <c r="J140" i="15"/>
  <c r="L174" i="16"/>
  <c r="N120" i="14"/>
  <c r="N148" i="14"/>
  <c r="D152" i="14"/>
  <c r="D148" i="14"/>
  <c r="D136" i="14" s="1"/>
  <c r="D120" i="14"/>
  <c r="E122" i="15"/>
  <c r="E130" i="15" s="1"/>
  <c r="L120" i="14"/>
  <c r="L152" i="14"/>
  <c r="L148" i="14"/>
  <c r="L136" i="14" s="1"/>
  <c r="K112" i="15"/>
  <c r="K136" i="15"/>
  <c r="K140" i="15"/>
  <c r="G122" i="15"/>
  <c r="J120" i="14"/>
  <c r="J148" i="14"/>
  <c r="J136" i="14" s="1"/>
  <c r="J152" i="14"/>
  <c r="K148" i="14"/>
  <c r="K136" i="14" s="1"/>
  <c r="K152" i="14"/>
  <c r="K120" i="14"/>
  <c r="D127" i="15"/>
  <c r="M112" i="15"/>
  <c r="M140" i="15"/>
  <c r="M136" i="15"/>
  <c r="M148" i="14"/>
  <c r="M136" i="14" s="1"/>
  <c r="M120" i="14"/>
  <c r="M152" i="14"/>
  <c r="E152" i="14"/>
  <c r="E120" i="14"/>
  <c r="E148" i="14"/>
  <c r="E136" i="14" s="1"/>
  <c r="E164" i="16"/>
  <c r="I169" i="16"/>
  <c r="I180" i="16" s="1"/>
  <c r="G164" i="16"/>
  <c r="G127" i="15"/>
  <c r="H136" i="15"/>
  <c r="H112" i="15"/>
  <c r="H140" i="15"/>
  <c r="D164" i="16"/>
  <c r="F152" i="14"/>
  <c r="F148" i="14"/>
  <c r="F136" i="14" s="1"/>
  <c r="F120" i="14"/>
  <c r="I112" i="15"/>
  <c r="I136" i="15"/>
  <c r="I140" i="15"/>
  <c r="M127" i="15"/>
  <c r="F112" i="15"/>
  <c r="F140" i="15"/>
  <c r="F136" i="15"/>
  <c r="G120" i="14"/>
  <c r="G152" i="14"/>
  <c r="G148" i="14"/>
  <c r="G136" i="14" s="1"/>
  <c r="I120" i="14"/>
  <c r="I148" i="14"/>
  <c r="I136" i="14" s="1"/>
  <c r="I152" i="14"/>
  <c r="J130" i="15"/>
  <c r="L136" i="15"/>
  <c r="L140" i="15"/>
  <c r="L112" i="15"/>
  <c r="E136" i="15"/>
  <c r="E112" i="15"/>
  <c r="E140" i="15"/>
  <c r="E169" i="16"/>
  <c r="E180" i="16" s="1"/>
  <c r="I164" i="16"/>
  <c r="G169" i="16"/>
  <c r="G180" i="16" s="1"/>
  <c r="H130" i="15"/>
  <c r="D140" i="15"/>
  <c r="D136" i="15"/>
  <c r="D112" i="15"/>
  <c r="D169" i="16"/>
  <c r="D180" i="16" s="1"/>
  <c r="F133" i="14"/>
  <c r="I127" i="15"/>
  <c r="M122" i="15"/>
  <c r="J85" i="12"/>
  <c r="J90" i="12" s="1"/>
  <c r="G85" i="12"/>
  <c r="G90" i="12" s="1"/>
  <c r="E85" i="12"/>
  <c r="E90" i="12" s="1"/>
  <c r="D85" i="12"/>
  <c r="D90" i="12" s="1"/>
  <c r="I85" i="12"/>
  <c r="I90" i="12" s="1"/>
  <c r="F85" i="12"/>
  <c r="F90" i="12" s="1"/>
  <c r="H85" i="12"/>
  <c r="H90" i="12" s="1"/>
  <c r="C10" i="2"/>
  <c r="C13" i="2" s="1"/>
  <c r="D100" i="12"/>
  <c r="E100" i="12"/>
  <c r="F100" i="12"/>
  <c r="H100" i="12"/>
  <c r="I100" i="12"/>
  <c r="J100" i="12"/>
  <c r="K100" i="12"/>
  <c r="C21" i="2"/>
  <c r="U53" i="1"/>
  <c r="O11" i="2"/>
  <c r="P11" i="2" s="1"/>
  <c r="K11" i="2"/>
  <c r="L11" i="2" s="1"/>
  <c r="O10" i="2"/>
  <c r="P10" i="2" s="1"/>
  <c r="K10" i="2"/>
  <c r="L10" i="2" s="1"/>
  <c r="K11" i="5"/>
  <c r="N11" i="5"/>
  <c r="P11" i="5" s="1"/>
  <c r="O9" i="2"/>
  <c r="P9" i="2" s="1"/>
  <c r="K9" i="2"/>
  <c r="L9" i="2" s="1"/>
  <c r="N10" i="5"/>
  <c r="P10" i="5" s="1"/>
  <c r="K10" i="5"/>
  <c r="O8" i="2"/>
  <c r="P8" i="2" s="1"/>
  <c r="K8" i="2"/>
  <c r="L8" i="2" s="1"/>
  <c r="K9" i="5"/>
  <c r="N9" i="5"/>
  <c r="P9" i="5" s="1"/>
  <c r="N8" i="5"/>
  <c r="P8" i="5" s="1"/>
  <c r="K8" i="5"/>
  <c r="U51" i="1"/>
  <c r="C10" i="5"/>
  <c r="C13" i="5" s="1"/>
  <c r="J8" i="11" s="1"/>
  <c r="J15" i="11" s="1"/>
  <c r="D13" i="5"/>
  <c r="J9" i="11" s="1"/>
  <c r="E13" i="2"/>
  <c r="U35" i="1"/>
  <c r="U34" i="1"/>
  <c r="E10" i="10"/>
  <c r="K16" i="10"/>
  <c r="K19" i="10"/>
  <c r="K18" i="10"/>
  <c r="K23" i="10"/>
  <c r="K24" i="10"/>
  <c r="K28" i="10"/>
  <c r="K29" i="10"/>
  <c r="K35" i="10"/>
  <c r="K33" i="10"/>
  <c r="K34" i="10"/>
  <c r="D29" i="1"/>
  <c r="D30" i="1" s="1"/>
  <c r="D22" i="1"/>
  <c r="R28" i="1"/>
  <c r="R29" i="1" l="1"/>
  <c r="R30" i="1" s="1"/>
  <c r="W20" i="1"/>
  <c r="W27" i="1"/>
  <c r="W26" i="1"/>
  <c r="W25" i="1"/>
  <c r="W24" i="1"/>
  <c r="W23" i="1"/>
  <c r="W22" i="1"/>
  <c r="W21" i="1"/>
  <c r="N108" i="16"/>
  <c r="N103" i="16"/>
  <c r="M114" i="16"/>
  <c r="M97" i="16"/>
  <c r="M119" i="16"/>
  <c r="J114" i="16"/>
  <c r="J97" i="16"/>
  <c r="J119" i="16"/>
  <c r="I103" i="16"/>
  <c r="I108" i="16"/>
  <c r="H114" i="16"/>
  <c r="H97" i="16"/>
  <c r="H119" i="16"/>
  <c r="G114" i="16"/>
  <c r="G119" i="16"/>
  <c r="G97" i="16"/>
  <c r="M108" i="16"/>
  <c r="M103" i="16"/>
  <c r="L114" i="16"/>
  <c r="L97" i="16"/>
  <c r="L119" i="16"/>
  <c r="K114" i="16"/>
  <c r="K119" i="16"/>
  <c r="K97" i="16"/>
  <c r="G108" i="16"/>
  <c r="G103" i="16"/>
  <c r="F119" i="16"/>
  <c r="F97" i="16"/>
  <c r="F114" i="16"/>
  <c r="E119" i="16"/>
  <c r="E114" i="16"/>
  <c r="E97" i="16"/>
  <c r="M52" i="17"/>
  <c r="F52" i="17"/>
  <c r="I52" i="17"/>
  <c r="K52" i="17"/>
  <c r="J52" i="17"/>
  <c r="H52" i="17"/>
  <c r="L52" i="17"/>
  <c r="E52" i="17"/>
  <c r="G52" i="17"/>
  <c r="D52" i="17"/>
  <c r="D114" i="16"/>
  <c r="D119" i="16"/>
  <c r="D97" i="16"/>
  <c r="M34" i="13"/>
  <c r="E29" i="18"/>
  <c r="E251" i="18" s="1"/>
  <c r="F29" i="18"/>
  <c r="F251" i="18" s="1"/>
  <c r="J29" i="18"/>
  <c r="J251" i="18" s="1"/>
  <c r="K34" i="13"/>
  <c r="I29" i="18"/>
  <c r="I251" i="18" s="1"/>
  <c r="L29" i="18"/>
  <c r="L251" i="18" s="1"/>
  <c r="M29" i="18"/>
  <c r="M251" i="18" s="1"/>
  <c r="F34" i="13"/>
  <c r="L34" i="13"/>
  <c r="D29" i="18"/>
  <c r="G29" i="18"/>
  <c r="G251" i="18" s="1"/>
  <c r="D34" i="13"/>
  <c r="G34" i="13"/>
  <c r="I34" i="13"/>
  <c r="H29" i="18"/>
  <c r="H251" i="18" s="1"/>
  <c r="K29" i="18"/>
  <c r="K251" i="18" s="1"/>
  <c r="E34" i="13"/>
  <c r="H34" i="13"/>
  <c r="J34" i="13"/>
  <c r="D141" i="14"/>
  <c r="N119" i="16"/>
  <c r="N114" i="16"/>
  <c r="N97" i="16"/>
  <c r="M78" i="16"/>
  <c r="I97" i="16"/>
  <c r="I119" i="16"/>
  <c r="I114" i="16"/>
  <c r="H108" i="16"/>
  <c r="H103" i="16"/>
  <c r="F103" i="16"/>
  <c r="F108" i="16"/>
  <c r="D99" i="16"/>
  <c r="D108" i="16"/>
  <c r="D103" i="16"/>
  <c r="H95" i="13"/>
  <c r="I95" i="13"/>
  <c r="L95" i="13"/>
  <c r="L103" i="16"/>
  <c r="L108" i="16"/>
  <c r="K108" i="16"/>
  <c r="K103" i="16"/>
  <c r="J108" i="16"/>
  <c r="J103" i="16"/>
  <c r="E108" i="16"/>
  <c r="E103" i="16"/>
  <c r="E126" i="16"/>
  <c r="K126" i="16"/>
  <c r="D126" i="16"/>
  <c r="J126" i="16"/>
  <c r="I126" i="16"/>
  <c r="M126" i="16"/>
  <c r="G126" i="16"/>
  <c r="H126" i="16"/>
  <c r="F126" i="16"/>
  <c r="L126" i="16"/>
  <c r="K145" i="15"/>
  <c r="G145" i="15"/>
  <c r="J145" i="15"/>
  <c r="F145" i="15"/>
  <c r="M145" i="15"/>
  <c r="I145" i="15"/>
  <c r="E145" i="15"/>
  <c r="L145" i="15"/>
  <c r="H145" i="15"/>
  <c r="D145" i="15"/>
  <c r="J97" i="13"/>
  <c r="F97" i="13"/>
  <c r="L96" i="13"/>
  <c r="M97" i="13"/>
  <c r="I97" i="13"/>
  <c r="E97" i="13"/>
  <c r="K96" i="13"/>
  <c r="G96" i="13"/>
  <c r="L97" i="13"/>
  <c r="H97" i="13"/>
  <c r="D97" i="13"/>
  <c r="J96" i="13"/>
  <c r="F96" i="13"/>
  <c r="K97" i="13"/>
  <c r="G97" i="13"/>
  <c r="M96" i="13"/>
  <c r="I96" i="13"/>
  <c r="E96" i="13"/>
  <c r="H96" i="13"/>
  <c r="H98" i="13" s="1"/>
  <c r="H99" i="13" s="1"/>
  <c r="H172" i="18" s="1"/>
  <c r="D96" i="13"/>
  <c r="K163" i="12"/>
  <c r="G163" i="12"/>
  <c r="M162" i="12"/>
  <c r="I162" i="12"/>
  <c r="E162" i="12"/>
  <c r="J163" i="12"/>
  <c r="F163" i="12"/>
  <c r="L162" i="12"/>
  <c r="H162" i="12"/>
  <c r="D162" i="12"/>
  <c r="M163" i="12"/>
  <c r="I163" i="12"/>
  <c r="E163" i="12"/>
  <c r="K162" i="12"/>
  <c r="G162" i="12"/>
  <c r="L163" i="12"/>
  <c r="H163" i="12"/>
  <c r="D163" i="12"/>
  <c r="J162" i="12"/>
  <c r="F162" i="12"/>
  <c r="D193" i="16"/>
  <c r="J192" i="16"/>
  <c r="F192" i="16"/>
  <c r="M192" i="16"/>
  <c r="I192" i="16"/>
  <c r="E192" i="16"/>
  <c r="L192" i="16"/>
  <c r="H192" i="16"/>
  <c r="D192" i="16"/>
  <c r="K192" i="16"/>
  <c r="G192" i="16"/>
  <c r="K193" i="16"/>
  <c r="J193" i="16"/>
  <c r="F193" i="16"/>
  <c r="M193" i="16"/>
  <c r="E193" i="16"/>
  <c r="I193" i="16"/>
  <c r="L193" i="16"/>
  <c r="H193" i="16"/>
  <c r="G193" i="16"/>
  <c r="N136" i="14"/>
  <c r="N141" i="14" s="1"/>
  <c r="L98" i="13"/>
  <c r="L99" i="13" s="1"/>
  <c r="L172" i="18" s="1"/>
  <c r="I98" i="13"/>
  <c r="I99" i="13" s="1"/>
  <c r="I172" i="18" s="1"/>
  <c r="F98" i="13"/>
  <c r="F99" i="13" s="1"/>
  <c r="F172" i="18" s="1"/>
  <c r="L77" i="14"/>
  <c r="G77" i="14"/>
  <c r="M77" i="14"/>
  <c r="K77" i="14"/>
  <c r="J77" i="14"/>
  <c r="H77" i="14"/>
  <c r="F77" i="14"/>
  <c r="N77" i="14"/>
  <c r="I77" i="14"/>
  <c r="D77" i="14"/>
  <c r="E77" i="14"/>
  <c r="D78" i="14"/>
  <c r="K46" i="17"/>
  <c r="M100" i="12"/>
  <c r="L46" i="17"/>
  <c r="K68" i="12"/>
  <c r="E46" i="17"/>
  <c r="G46" i="17"/>
  <c r="H46" i="13"/>
  <c r="J18" i="11"/>
  <c r="J17" i="11"/>
  <c r="J16" i="11"/>
  <c r="L100" i="12"/>
  <c r="D59" i="17"/>
  <c r="D60" i="17" s="1"/>
  <c r="D61" i="17" s="1"/>
  <c r="D111" i="18" s="1"/>
  <c r="D49" i="17"/>
  <c r="D91" i="18" s="1"/>
  <c r="H46" i="17"/>
  <c r="J46" i="17"/>
  <c r="K46" i="13"/>
  <c r="D98" i="13"/>
  <c r="D99" i="13" s="1"/>
  <c r="D172" i="18" s="1"/>
  <c r="K98" i="13"/>
  <c r="K99" i="13" s="1"/>
  <c r="K172" i="18" s="1"/>
  <c r="E98" i="13"/>
  <c r="E99" i="13" s="1"/>
  <c r="E172" i="18" s="1"/>
  <c r="J98" i="13"/>
  <c r="J99" i="13" s="1"/>
  <c r="J172" i="18" s="1"/>
  <c r="M46" i="17"/>
  <c r="I46" i="17"/>
  <c r="J68" i="12"/>
  <c r="N46" i="17"/>
  <c r="N49" i="17" s="1"/>
  <c r="M64" i="17" s="1"/>
  <c r="F46" i="17"/>
  <c r="K131" i="15"/>
  <c r="L130" i="15"/>
  <c r="L131" i="15" s="1"/>
  <c r="L132" i="15" s="1"/>
  <c r="L134" i="15" s="1"/>
  <c r="L138" i="15" s="1"/>
  <c r="L176" i="16"/>
  <c r="H131" i="15"/>
  <c r="H132" i="15" s="1"/>
  <c r="H134" i="15" s="1"/>
  <c r="H138" i="15" s="1"/>
  <c r="H142" i="15" s="1"/>
  <c r="H163" i="18" s="1"/>
  <c r="E131" i="15"/>
  <c r="E132" i="15" s="1"/>
  <c r="E134" i="15" s="1"/>
  <c r="N78" i="14"/>
  <c r="L46" i="13"/>
  <c r="H78" i="14"/>
  <c r="G78" i="14"/>
  <c r="L181" i="16"/>
  <c r="L182" i="16" s="1"/>
  <c r="M176" i="16"/>
  <c r="M181" i="16"/>
  <c r="M182" i="16" s="1"/>
  <c r="I174" i="16"/>
  <c r="F141" i="14"/>
  <c r="E137" i="14"/>
  <c r="E142" i="14" s="1"/>
  <c r="E143" i="14" s="1"/>
  <c r="E141" i="14"/>
  <c r="G141" i="14"/>
  <c r="K132" i="15"/>
  <c r="K134" i="15" s="1"/>
  <c r="K138" i="15" s="1"/>
  <c r="K141" i="14"/>
  <c r="G130" i="15"/>
  <c r="L137" i="14"/>
  <c r="L142" i="14" s="1"/>
  <c r="L143" i="14" s="1"/>
  <c r="D137" i="14"/>
  <c r="D142" i="14" s="1"/>
  <c r="D143" i="14" s="1"/>
  <c r="D130" i="15"/>
  <c r="M68" i="12"/>
  <c r="I46" i="13"/>
  <c r="M46" i="13"/>
  <c r="N65" i="14"/>
  <c r="M65" i="14"/>
  <c r="M70" i="15"/>
  <c r="M75" i="15"/>
  <c r="M61" i="15"/>
  <c r="J78" i="14"/>
  <c r="I70" i="15"/>
  <c r="I61" i="15"/>
  <c r="I75" i="15"/>
  <c r="I71" i="15"/>
  <c r="I76" i="15"/>
  <c r="H70" i="15"/>
  <c r="H61" i="15"/>
  <c r="H75" i="15"/>
  <c r="H76" i="15"/>
  <c r="H71" i="15"/>
  <c r="G70" i="15"/>
  <c r="G75" i="15"/>
  <c r="G61" i="15"/>
  <c r="F78" i="14"/>
  <c r="E76" i="15"/>
  <c r="E71" i="15"/>
  <c r="L141" i="14"/>
  <c r="M137" i="14"/>
  <c r="H137" i="14"/>
  <c r="H142" i="14" s="1"/>
  <c r="H143" i="14" s="1"/>
  <c r="F131" i="15"/>
  <c r="F132" i="15" s="1"/>
  <c r="F134" i="15" s="1"/>
  <c r="F138" i="15" s="1"/>
  <c r="I68" i="12"/>
  <c r="J46" i="13"/>
  <c r="N70" i="15"/>
  <c r="N61" i="15"/>
  <c r="N75" i="15"/>
  <c r="M76" i="15"/>
  <c r="M71" i="15"/>
  <c r="L76" i="15"/>
  <c r="L71" i="15"/>
  <c r="L65" i="14"/>
  <c r="K78" i="14"/>
  <c r="J71" i="15"/>
  <c r="J76" i="15"/>
  <c r="I78" i="14"/>
  <c r="F65" i="14"/>
  <c r="F70" i="15"/>
  <c r="F75" i="15"/>
  <c r="F61" i="15"/>
  <c r="E78" i="14"/>
  <c r="D75" i="15"/>
  <c r="D70" i="15"/>
  <c r="D61" i="15"/>
  <c r="I137" i="14"/>
  <c r="I142" i="14" s="1"/>
  <c r="I143" i="14" s="1"/>
  <c r="H174" i="16"/>
  <c r="E174" i="16"/>
  <c r="F174" i="16"/>
  <c r="J137" i="14"/>
  <c r="J142" i="14" s="1"/>
  <c r="J143" i="14" s="1"/>
  <c r="G194" i="16"/>
  <c r="G195" i="16" s="1"/>
  <c r="G175" i="18" s="1"/>
  <c r="L194" i="16"/>
  <c r="L195" i="16" s="1"/>
  <c r="L175" i="18" s="1"/>
  <c r="E138" i="15"/>
  <c r="N137" i="14"/>
  <c r="N142" i="14" s="1"/>
  <c r="N143" i="14" s="1"/>
  <c r="I130" i="15"/>
  <c r="J131" i="15"/>
  <c r="J132" i="15" s="1"/>
  <c r="J134" i="15" s="1"/>
  <c r="J138" i="15" s="1"/>
  <c r="E68" i="12"/>
  <c r="F46" i="13"/>
  <c r="M61" i="13" s="1"/>
  <c r="L78" i="14"/>
  <c r="K70" i="15"/>
  <c r="K75" i="15"/>
  <c r="K61" i="15"/>
  <c r="K71" i="15"/>
  <c r="K76" i="15"/>
  <c r="J70" i="15"/>
  <c r="J61" i="15"/>
  <c r="J75" i="15"/>
  <c r="J77" i="15" s="1"/>
  <c r="I65" i="14"/>
  <c r="G71" i="15"/>
  <c r="G76" i="15"/>
  <c r="E65" i="14"/>
  <c r="D76" i="15"/>
  <c r="D71" i="15"/>
  <c r="D65" i="14"/>
  <c r="K174" i="16"/>
  <c r="M130" i="15"/>
  <c r="N131" i="15"/>
  <c r="N132" i="15" s="1"/>
  <c r="N134" i="15" s="1"/>
  <c r="N138" i="15" s="1"/>
  <c r="M152" i="15" s="1"/>
  <c r="M153" i="15" s="1"/>
  <c r="M154" i="15" s="1"/>
  <c r="M187" i="18" s="1"/>
  <c r="F137" i="14"/>
  <c r="F138" i="14" s="1"/>
  <c r="K194" i="16"/>
  <c r="K195" i="16" s="1"/>
  <c r="K175" i="18" s="1"/>
  <c r="H68" i="12"/>
  <c r="L68" i="12"/>
  <c r="N76" i="15"/>
  <c r="N71" i="15"/>
  <c r="M78" i="14"/>
  <c r="L75" i="15"/>
  <c r="L77" i="15" s="1"/>
  <c r="L61" i="15"/>
  <c r="L70" i="15"/>
  <c r="K65" i="14"/>
  <c r="J65" i="14"/>
  <c r="H65" i="14"/>
  <c r="G65" i="14"/>
  <c r="F76" i="15"/>
  <c r="F71" i="15"/>
  <c r="E70" i="15"/>
  <c r="E72" i="15" s="1"/>
  <c r="E61" i="15"/>
  <c r="E75" i="15"/>
  <c r="N174" i="16"/>
  <c r="D10" i="7"/>
  <c r="C10" i="7" s="1"/>
  <c r="D9" i="7"/>
  <c r="R22" i="1"/>
  <c r="U22" i="1" s="1"/>
  <c r="C19" i="11" s="1"/>
  <c r="C24" i="11" s="1"/>
  <c r="E103" i="13"/>
  <c r="I103" i="13"/>
  <c r="F103" i="13"/>
  <c r="J103" i="13"/>
  <c r="G103" i="13"/>
  <c r="L103" i="13"/>
  <c r="D103" i="13"/>
  <c r="H103" i="13"/>
  <c r="M103" i="13"/>
  <c r="K103" i="13"/>
  <c r="H69" i="13"/>
  <c r="F69" i="13"/>
  <c r="K69" i="13"/>
  <c r="G69" i="13"/>
  <c r="L69" i="13"/>
  <c r="E69" i="13"/>
  <c r="D69" i="13"/>
  <c r="I69" i="13"/>
  <c r="M69" i="13"/>
  <c r="J69" i="13"/>
  <c r="C11" i="10"/>
  <c r="K84" i="12"/>
  <c r="K86" i="12" s="1"/>
  <c r="G84" i="12"/>
  <c r="G89" i="12" s="1"/>
  <c r="N140" i="12"/>
  <c r="G140" i="12"/>
  <c r="I140" i="12"/>
  <c r="J140" i="12"/>
  <c r="H140" i="12"/>
  <c r="K140" i="12"/>
  <c r="L140" i="12"/>
  <c r="M140" i="12"/>
  <c r="E140" i="12"/>
  <c r="F140" i="12"/>
  <c r="D140" i="12"/>
  <c r="D84" i="12"/>
  <c r="D89" i="12" s="1"/>
  <c r="J84" i="12"/>
  <c r="J86" i="12" s="1"/>
  <c r="I84" i="12"/>
  <c r="I89" i="12" s="1"/>
  <c r="K164" i="12"/>
  <c r="K165" i="12" s="1"/>
  <c r="K167" i="12" s="1"/>
  <c r="E84" i="12"/>
  <c r="E89" i="12" s="1"/>
  <c r="F84" i="12"/>
  <c r="F86" i="12" s="1"/>
  <c r="N84" i="12"/>
  <c r="N86" i="12" s="1"/>
  <c r="M84" i="12"/>
  <c r="M86" i="12" s="1"/>
  <c r="H84" i="12"/>
  <c r="H86" i="12" s="1"/>
  <c r="K89" i="12"/>
  <c r="L84" i="12"/>
  <c r="G100" i="12"/>
  <c r="J89" i="12"/>
  <c r="D19" i="11"/>
  <c r="U28" i="1"/>
  <c r="Z27" i="1" l="1"/>
  <c r="Z26" i="1"/>
  <c r="Z25" i="1"/>
  <c r="Z24" i="1"/>
  <c r="Z23" i="1"/>
  <c r="Z22" i="1"/>
  <c r="Z21" i="1"/>
  <c r="Z20" i="1"/>
  <c r="N99" i="16"/>
  <c r="N102" i="16"/>
  <c r="N104" i="16" s="1"/>
  <c r="N115" i="16" s="1"/>
  <c r="N107" i="16"/>
  <c r="N109" i="16" s="1"/>
  <c r="N116" i="16" s="1"/>
  <c r="D251" i="18"/>
  <c r="P28" i="18"/>
  <c r="E99" i="16"/>
  <c r="E111" i="16" s="1"/>
  <c r="E121" i="16" s="1"/>
  <c r="E107" i="16"/>
  <c r="E109" i="16" s="1"/>
  <c r="E116" i="16" s="1"/>
  <c r="E102" i="16"/>
  <c r="E104" i="16" s="1"/>
  <c r="E115" i="16" s="1"/>
  <c r="F99" i="16"/>
  <c r="F107" i="16"/>
  <c r="F109" i="16" s="1"/>
  <c r="F116" i="16" s="1"/>
  <c r="F102" i="16"/>
  <c r="F104" i="16" s="1"/>
  <c r="F115" i="16" s="1"/>
  <c r="K99" i="16"/>
  <c r="K102" i="16"/>
  <c r="K104" i="16" s="1"/>
  <c r="K115" i="16" s="1"/>
  <c r="K107" i="16"/>
  <c r="K109" i="16" s="1"/>
  <c r="K116" i="16" s="1"/>
  <c r="L99" i="16"/>
  <c r="L102" i="16"/>
  <c r="L104" i="16" s="1"/>
  <c r="L115" i="16" s="1"/>
  <c r="L107" i="16"/>
  <c r="L109" i="16" s="1"/>
  <c r="L116" i="16" s="1"/>
  <c r="G99" i="16"/>
  <c r="G111" i="16" s="1"/>
  <c r="G121" i="16" s="1"/>
  <c r="G102" i="16"/>
  <c r="G104" i="16" s="1"/>
  <c r="G115" i="16" s="1"/>
  <c r="G107" i="16"/>
  <c r="G109" i="16" s="1"/>
  <c r="G116" i="16" s="1"/>
  <c r="G117" i="16" s="1"/>
  <c r="H99" i="16"/>
  <c r="H102" i="16"/>
  <c r="H104" i="16" s="1"/>
  <c r="H115" i="16" s="1"/>
  <c r="H117" i="16" s="1"/>
  <c r="H107" i="16"/>
  <c r="H109" i="16" s="1"/>
  <c r="H116" i="16" s="1"/>
  <c r="M102" i="16"/>
  <c r="M104" i="16" s="1"/>
  <c r="M99" i="16"/>
  <c r="M107" i="16"/>
  <c r="M109" i="16" s="1"/>
  <c r="M116" i="16" s="1"/>
  <c r="L55" i="17"/>
  <c r="L56" i="17" s="1"/>
  <c r="L102" i="18" s="1"/>
  <c r="E117" i="16"/>
  <c r="L117" i="16"/>
  <c r="J99" i="16"/>
  <c r="J111" i="16" s="1"/>
  <c r="J107" i="16"/>
  <c r="J109" i="16" s="1"/>
  <c r="J116" i="16" s="1"/>
  <c r="J102" i="16"/>
  <c r="J104" i="16" s="1"/>
  <c r="J115" i="16" s="1"/>
  <c r="I107" i="16"/>
  <c r="I109" i="16" s="1"/>
  <c r="I116" i="16" s="1"/>
  <c r="I102" i="16"/>
  <c r="I104" i="16" s="1"/>
  <c r="I115" i="16" s="1"/>
  <c r="I99" i="16"/>
  <c r="D53" i="17"/>
  <c r="D55" i="17" s="1"/>
  <c r="D56" i="17" s="1"/>
  <c r="D102" i="18" s="1"/>
  <c r="H54" i="17"/>
  <c r="L53" i="17"/>
  <c r="J53" i="17"/>
  <c r="G53" i="17"/>
  <c r="M54" i="17"/>
  <c r="G54" i="17"/>
  <c r="E54" i="17"/>
  <c r="K54" i="17"/>
  <c r="I53" i="17"/>
  <c r="I55" i="17" s="1"/>
  <c r="I56" i="17" s="1"/>
  <c r="I102" i="18" s="1"/>
  <c r="F53" i="17"/>
  <c r="F54" i="17"/>
  <c r="D54" i="17"/>
  <c r="H53" i="17"/>
  <c r="H55" i="17" s="1"/>
  <c r="H56" i="17" s="1"/>
  <c r="H102" i="18" s="1"/>
  <c r="E53" i="17"/>
  <c r="E55" i="17" s="1"/>
  <c r="E56" i="17" s="1"/>
  <c r="E102" i="18" s="1"/>
  <c r="I54" i="17"/>
  <c r="L54" i="17"/>
  <c r="M53" i="17"/>
  <c r="K53" i="17"/>
  <c r="K55" i="17" s="1"/>
  <c r="K56" i="17" s="1"/>
  <c r="K102" i="18" s="1"/>
  <c r="J54" i="17"/>
  <c r="F55" i="17"/>
  <c r="F56" i="17" s="1"/>
  <c r="F102" i="18" s="1"/>
  <c r="D16" i="16"/>
  <c r="D18" i="14"/>
  <c r="D17" i="14"/>
  <c r="D16" i="15"/>
  <c r="D17" i="16"/>
  <c r="D33" i="16" s="1"/>
  <c r="D11" i="17"/>
  <c r="D12" i="17" s="1"/>
  <c r="D12" i="16"/>
  <c r="D13" i="16" s="1"/>
  <c r="D14" i="17"/>
  <c r="D19" i="14"/>
  <c r="D15" i="14"/>
  <c r="D15" i="15"/>
  <c r="D16" i="14"/>
  <c r="E12" i="16"/>
  <c r="E17" i="16"/>
  <c r="E33" i="16" s="1"/>
  <c r="E11" i="17"/>
  <c r="E12" i="17" s="1"/>
  <c r="E16" i="14"/>
  <c r="E14" i="17"/>
  <c r="E17" i="14"/>
  <c r="E16" i="16"/>
  <c r="E19" i="14"/>
  <c r="E15" i="14"/>
  <c r="E18" i="14"/>
  <c r="E16" i="15"/>
  <c r="E15" i="15"/>
  <c r="F12" i="16"/>
  <c r="F13" i="16" s="1"/>
  <c r="F17" i="16"/>
  <c r="F33" i="16" s="1"/>
  <c r="F19" i="14"/>
  <c r="F18" i="14"/>
  <c r="F14" i="17"/>
  <c r="F16" i="15"/>
  <c r="F16" i="14"/>
  <c r="F15" i="14"/>
  <c r="F16" i="16"/>
  <c r="F17" i="14"/>
  <c r="F15" i="15"/>
  <c r="F11" i="17"/>
  <c r="F12" i="17" s="1"/>
  <c r="G16" i="15"/>
  <c r="G18" i="14"/>
  <c r="G16" i="14"/>
  <c r="G17" i="16"/>
  <c r="G33" i="16" s="1"/>
  <c r="G14" i="17"/>
  <c r="G19" i="14"/>
  <c r="G12" i="16"/>
  <c r="G13" i="16" s="1"/>
  <c r="G15" i="15"/>
  <c r="G15" i="14"/>
  <c r="G16" i="16"/>
  <c r="G17" i="14"/>
  <c r="G11" i="17"/>
  <c r="G12" i="17" s="1"/>
  <c r="H16" i="14"/>
  <c r="H15" i="15"/>
  <c r="H19" i="14"/>
  <c r="H16" i="16"/>
  <c r="H18" i="14"/>
  <c r="H17" i="14"/>
  <c r="H11" i="17"/>
  <c r="H16" i="15"/>
  <c r="H17" i="16"/>
  <c r="H33" i="16" s="1"/>
  <c r="H15" i="14"/>
  <c r="H14" i="17"/>
  <c r="H12" i="16"/>
  <c r="H13" i="16" s="1"/>
  <c r="I19" i="14"/>
  <c r="I18" i="14"/>
  <c r="I17" i="14"/>
  <c r="I14" i="17"/>
  <c r="I16" i="15"/>
  <c r="I15" i="15"/>
  <c r="I12" i="16"/>
  <c r="I17" i="16"/>
  <c r="I33" i="16" s="1"/>
  <c r="I15" i="14"/>
  <c r="I16" i="14"/>
  <c r="I16" i="16"/>
  <c r="I11" i="17"/>
  <c r="I12" i="17" s="1"/>
  <c r="J15" i="15"/>
  <c r="J11" i="17"/>
  <c r="J19" i="14"/>
  <c r="J17" i="14"/>
  <c r="J12" i="16"/>
  <c r="J17" i="16"/>
  <c r="J33" i="16" s="1"/>
  <c r="J14" i="17"/>
  <c r="J18" i="14"/>
  <c r="J15" i="14"/>
  <c r="J16" i="15"/>
  <c r="J16" i="14"/>
  <c r="J16" i="16"/>
  <c r="D18" i="13"/>
  <c r="D22" i="13"/>
  <c r="K11" i="17"/>
  <c r="K12" i="17" s="1"/>
  <c r="D22" i="12"/>
  <c r="D15" i="12"/>
  <c r="K15" i="15"/>
  <c r="K12" i="16"/>
  <c r="K13" i="16" s="1"/>
  <c r="D15" i="13"/>
  <c r="D23" i="13"/>
  <c r="K14" i="17"/>
  <c r="K18" i="14"/>
  <c r="K15" i="14"/>
  <c r="D16" i="12"/>
  <c r="K16" i="16"/>
  <c r="D21" i="13"/>
  <c r="D11" i="13"/>
  <c r="D17" i="13"/>
  <c r="K17" i="14"/>
  <c r="K16" i="14"/>
  <c r="D23" i="12"/>
  <c r="D18" i="12"/>
  <c r="K16" i="15"/>
  <c r="D24" i="13"/>
  <c r="D16" i="13"/>
  <c r="K19" i="14"/>
  <c r="D24" i="12"/>
  <c r="D17" i="12"/>
  <c r="D11" i="12"/>
  <c r="D21" i="12"/>
  <c r="K17" i="16"/>
  <c r="K33" i="16" s="1"/>
  <c r="E22" i="12"/>
  <c r="E17" i="12"/>
  <c r="L19" i="14"/>
  <c r="L16" i="14"/>
  <c r="E23" i="13"/>
  <c r="E17" i="13"/>
  <c r="L16" i="16"/>
  <c r="L15" i="15"/>
  <c r="E21" i="12"/>
  <c r="E16" i="12"/>
  <c r="L18" i="14"/>
  <c r="L17" i="14"/>
  <c r="L11" i="17"/>
  <c r="L12" i="17" s="1"/>
  <c r="E22" i="13"/>
  <c r="E16" i="13"/>
  <c r="E18" i="13"/>
  <c r="L17" i="16"/>
  <c r="L33" i="16" s="1"/>
  <c r="E24" i="12"/>
  <c r="E18" i="12"/>
  <c r="E15" i="12"/>
  <c r="L15" i="14"/>
  <c r="L14" i="17"/>
  <c r="E24" i="13"/>
  <c r="L12" i="16"/>
  <c r="L13" i="16" s="1"/>
  <c r="L16" i="15"/>
  <c r="E11" i="12"/>
  <c r="E23" i="12"/>
  <c r="E21" i="13"/>
  <c r="E15" i="13"/>
  <c r="E11" i="13"/>
  <c r="M16" i="14"/>
  <c r="F24" i="12"/>
  <c r="F18" i="12"/>
  <c r="F23" i="13"/>
  <c r="M17" i="14"/>
  <c r="F22" i="12"/>
  <c r="F23" i="12"/>
  <c r="F11" i="12"/>
  <c r="F22" i="13"/>
  <c r="F21" i="13"/>
  <c r="F17" i="13"/>
  <c r="F15" i="13"/>
  <c r="M19" i="14"/>
  <c r="M18" i="14"/>
  <c r="F21" i="12"/>
  <c r="F16" i="12"/>
  <c r="F17" i="12"/>
  <c r="F24" i="13"/>
  <c r="F16" i="13"/>
  <c r="M12" i="16"/>
  <c r="M13" i="16" s="1"/>
  <c r="M17" i="16"/>
  <c r="M33" i="16" s="1"/>
  <c r="M14" i="17"/>
  <c r="M15" i="14"/>
  <c r="F15" i="12"/>
  <c r="M16" i="15"/>
  <c r="M15" i="15"/>
  <c r="F18" i="13"/>
  <c r="F11" i="13"/>
  <c r="M11" i="17"/>
  <c r="M12" i="17" s="1"/>
  <c r="M16" i="16"/>
  <c r="N14" i="17"/>
  <c r="G23" i="13"/>
  <c r="G15" i="13"/>
  <c r="N16" i="16"/>
  <c r="N16" i="14"/>
  <c r="G16" i="12"/>
  <c r="G18" i="12"/>
  <c r="N16" i="15"/>
  <c r="G21" i="13"/>
  <c r="G22" i="13"/>
  <c r="G16" i="13"/>
  <c r="N17" i="14"/>
  <c r="G24" i="12"/>
  <c r="G21" i="12"/>
  <c r="G11" i="12"/>
  <c r="G24" i="13"/>
  <c r="G11" i="13"/>
  <c r="N12" i="16"/>
  <c r="N13" i="16" s="1"/>
  <c r="N17" i="16"/>
  <c r="N33" i="16" s="1"/>
  <c r="N19" i="14"/>
  <c r="N15" i="14"/>
  <c r="G23" i="12"/>
  <c r="G15" i="12"/>
  <c r="N15" i="15"/>
  <c r="N11" i="17"/>
  <c r="N12" i="17" s="1"/>
  <c r="G18" i="13"/>
  <c r="G17" i="13"/>
  <c r="N18" i="14"/>
  <c r="G22" i="12"/>
  <c r="G17" i="12"/>
  <c r="H21" i="13"/>
  <c r="H16" i="12"/>
  <c r="H24" i="13"/>
  <c r="H11" i="13"/>
  <c r="H17" i="13"/>
  <c r="H18" i="12"/>
  <c r="H21" i="12"/>
  <c r="H18" i="13"/>
  <c r="H22" i="13"/>
  <c r="H23" i="13"/>
  <c r="H23" i="12"/>
  <c r="H11" i="12"/>
  <c r="H15" i="12"/>
  <c r="H15" i="13"/>
  <c r="H16" i="13"/>
  <c r="H24" i="12"/>
  <c r="H17" i="12"/>
  <c r="H22" i="12"/>
  <c r="I24" i="12"/>
  <c r="I23" i="12"/>
  <c r="I21" i="13"/>
  <c r="I18" i="13"/>
  <c r="I18" i="12"/>
  <c r="I21" i="12"/>
  <c r="I22" i="12"/>
  <c r="I23" i="13"/>
  <c r="I17" i="13"/>
  <c r="I11" i="12"/>
  <c r="I15" i="12"/>
  <c r="I16" i="12"/>
  <c r="I22" i="13"/>
  <c r="I16" i="13"/>
  <c r="I24" i="13"/>
  <c r="I17" i="12"/>
  <c r="I15" i="13"/>
  <c r="I11" i="13"/>
  <c r="J21" i="12"/>
  <c r="J22" i="12"/>
  <c r="J11" i="12"/>
  <c r="J22" i="13"/>
  <c r="J15" i="12"/>
  <c r="J16" i="12"/>
  <c r="J24" i="13"/>
  <c r="J16" i="13"/>
  <c r="J11" i="13"/>
  <c r="J23" i="12"/>
  <c r="J17" i="12"/>
  <c r="J18" i="13"/>
  <c r="J21" i="13"/>
  <c r="J24" i="12"/>
  <c r="J18" i="12"/>
  <c r="J23" i="13"/>
  <c r="J17" i="13"/>
  <c r="J15" i="13"/>
  <c r="K21" i="13"/>
  <c r="K11" i="13"/>
  <c r="K16" i="13"/>
  <c r="K24" i="12"/>
  <c r="K15" i="12"/>
  <c r="K24" i="13"/>
  <c r="K17" i="12"/>
  <c r="K18" i="12"/>
  <c r="K23" i="13"/>
  <c r="K18" i="13"/>
  <c r="K22" i="13"/>
  <c r="K22" i="12"/>
  <c r="K11" i="12"/>
  <c r="K17" i="13"/>
  <c r="K15" i="13"/>
  <c r="K23" i="12"/>
  <c r="K16" i="12"/>
  <c r="K21" i="12"/>
  <c r="L18" i="12"/>
  <c r="L16" i="12"/>
  <c r="L11" i="12"/>
  <c r="L21" i="13"/>
  <c r="L17" i="13"/>
  <c r="L23" i="13"/>
  <c r="L23" i="12"/>
  <c r="L17" i="12"/>
  <c r="L21" i="12"/>
  <c r="L24" i="13"/>
  <c r="L11" i="13"/>
  <c r="L15" i="13"/>
  <c r="L24" i="12"/>
  <c r="L22" i="12"/>
  <c r="L15" i="12"/>
  <c r="L18" i="13"/>
  <c r="L22" i="13"/>
  <c r="L16" i="13"/>
  <c r="M24" i="12"/>
  <c r="M18" i="12"/>
  <c r="M15" i="12"/>
  <c r="M22" i="12"/>
  <c r="M21" i="13"/>
  <c r="M16" i="13"/>
  <c r="M11" i="13"/>
  <c r="M11" i="12"/>
  <c r="M23" i="12"/>
  <c r="M16" i="12"/>
  <c r="M23" i="13"/>
  <c r="M15" i="13"/>
  <c r="M17" i="12"/>
  <c r="M22" i="13"/>
  <c r="M17" i="13"/>
  <c r="M24" i="13"/>
  <c r="M21" i="12"/>
  <c r="M18" i="13"/>
  <c r="N21" i="12"/>
  <c r="N16" i="12"/>
  <c r="N18" i="12"/>
  <c r="N18" i="13"/>
  <c r="N23" i="13"/>
  <c r="N21" i="13"/>
  <c r="N24" i="13"/>
  <c r="N23" i="12"/>
  <c r="N15" i="12"/>
  <c r="N11" i="12"/>
  <c r="N16" i="13"/>
  <c r="N17" i="12"/>
  <c r="N17" i="13"/>
  <c r="N11" i="13"/>
  <c r="N24" i="12"/>
  <c r="N22" i="12"/>
  <c r="N22" i="13"/>
  <c r="N15" i="13"/>
  <c r="J105" i="12"/>
  <c r="G129" i="16"/>
  <c r="G130" i="16" s="1"/>
  <c r="G101" i="18" s="1"/>
  <c r="I127" i="16"/>
  <c r="I129" i="16" s="1"/>
  <c r="I130" i="16" s="1"/>
  <c r="I101" i="18" s="1"/>
  <c r="F127" i="16"/>
  <c r="F129" i="16" s="1"/>
  <c r="F130" i="16" s="1"/>
  <c r="F101" i="18" s="1"/>
  <c r="H127" i="16"/>
  <c r="H129" i="16" s="1"/>
  <c r="G128" i="16"/>
  <c r="D128" i="16"/>
  <c r="M128" i="16"/>
  <c r="L127" i="16"/>
  <c r="L129" i="16" s="1"/>
  <c r="L130" i="16" s="1"/>
  <c r="L101" i="18" s="1"/>
  <c r="E128" i="16"/>
  <c r="J128" i="16"/>
  <c r="G127" i="16"/>
  <c r="I128" i="16"/>
  <c r="K128" i="16"/>
  <c r="H128" i="16"/>
  <c r="D127" i="16"/>
  <c r="D129" i="16" s="1"/>
  <c r="D130" i="16" s="1"/>
  <c r="D101" i="18" s="1"/>
  <c r="M127" i="16"/>
  <c r="M129" i="16" s="1"/>
  <c r="M130" i="16" s="1"/>
  <c r="M101" i="18" s="1"/>
  <c r="J127" i="16"/>
  <c r="J129" i="16" s="1"/>
  <c r="J130" i="16" s="1"/>
  <c r="J101" i="18" s="1"/>
  <c r="L128" i="16"/>
  <c r="E127" i="16"/>
  <c r="E129" i="16" s="1"/>
  <c r="E130" i="16" s="1"/>
  <c r="E101" i="18" s="1"/>
  <c r="K127" i="16"/>
  <c r="K129" i="16" s="1"/>
  <c r="K130" i="16" s="1"/>
  <c r="K101" i="18" s="1"/>
  <c r="F128" i="16"/>
  <c r="D107" i="16"/>
  <c r="D109" i="16" s="1"/>
  <c r="D116" i="16" s="1"/>
  <c r="D102" i="16"/>
  <c r="D104" i="16" s="1"/>
  <c r="G55" i="17"/>
  <c r="G56" i="17" s="1"/>
  <c r="G102" i="18" s="1"/>
  <c r="J55" i="17"/>
  <c r="J56" i="17" s="1"/>
  <c r="J102" i="18" s="1"/>
  <c r="M55" i="17"/>
  <c r="M56" i="17"/>
  <c r="M102" i="18" s="1"/>
  <c r="G98" i="13"/>
  <c r="G99" i="13" s="1"/>
  <c r="G172" i="18" s="1"/>
  <c r="G61" i="13"/>
  <c r="L61" i="13"/>
  <c r="F61" i="13"/>
  <c r="D105" i="12"/>
  <c r="I105" i="12"/>
  <c r="J70" i="13"/>
  <c r="F70" i="13"/>
  <c r="F71" i="13" s="1"/>
  <c r="F72" i="13" s="1"/>
  <c r="F110" i="18" s="1"/>
  <c r="F128" i="18" s="1"/>
  <c r="M70" i="13"/>
  <c r="I70" i="13"/>
  <c r="E70" i="13"/>
  <c r="L70" i="13"/>
  <c r="L71" i="13" s="1"/>
  <c r="L72" i="13" s="1"/>
  <c r="L110" i="18" s="1"/>
  <c r="L128" i="18" s="1"/>
  <c r="H70" i="13"/>
  <c r="D70" i="13"/>
  <c r="K70" i="13"/>
  <c r="G70" i="13"/>
  <c r="K61" i="13"/>
  <c r="E61" i="13"/>
  <c r="J61" i="13"/>
  <c r="H105" i="12"/>
  <c r="M105" i="12"/>
  <c r="G147" i="15"/>
  <c r="M146" i="15"/>
  <c r="I146" i="15"/>
  <c r="E146" i="15"/>
  <c r="F147" i="15"/>
  <c r="L146" i="15"/>
  <c r="H146" i="15"/>
  <c r="D146" i="15"/>
  <c r="E147" i="15"/>
  <c r="K146" i="15"/>
  <c r="G146" i="15"/>
  <c r="D147" i="15"/>
  <c r="J146" i="15"/>
  <c r="F146" i="15"/>
  <c r="M147" i="15"/>
  <c r="L147" i="15"/>
  <c r="H147" i="15"/>
  <c r="K147" i="15"/>
  <c r="J147" i="15"/>
  <c r="I147" i="15"/>
  <c r="D61" i="13"/>
  <c r="I61" i="13"/>
  <c r="G105" i="12"/>
  <c r="L105" i="12"/>
  <c r="F105" i="12"/>
  <c r="F104" i="13"/>
  <c r="E104" i="13"/>
  <c r="E105" i="13" s="1"/>
  <c r="E106" i="13" s="1"/>
  <c r="D104" i="13"/>
  <c r="I104" i="13"/>
  <c r="L104" i="13"/>
  <c r="H104" i="13"/>
  <c r="H105" i="13" s="1"/>
  <c r="H106" i="13" s="1"/>
  <c r="K104" i="13"/>
  <c r="G104" i="13"/>
  <c r="J104" i="13"/>
  <c r="M104" i="13"/>
  <c r="M105" i="13" s="1"/>
  <c r="M106" i="13" s="1"/>
  <c r="H61" i="13"/>
  <c r="K105" i="12"/>
  <c r="E105" i="12"/>
  <c r="K180" i="18"/>
  <c r="K171" i="18"/>
  <c r="M98" i="13"/>
  <c r="M99" i="13" s="1"/>
  <c r="M172" i="18" s="1"/>
  <c r="D144" i="14"/>
  <c r="N79" i="14"/>
  <c r="L59" i="17"/>
  <c r="L60" i="17" s="1"/>
  <c r="L61" i="17" s="1"/>
  <c r="L111" i="18" s="1"/>
  <c r="L49" i="17"/>
  <c r="L91" i="18" s="1"/>
  <c r="G59" i="17"/>
  <c r="G60" i="17" s="1"/>
  <c r="G61" i="17" s="1"/>
  <c r="G111" i="18" s="1"/>
  <c r="G49" i="17"/>
  <c r="G91" i="18" s="1"/>
  <c r="I59" i="17"/>
  <c r="I60" i="17" s="1"/>
  <c r="I61" i="17" s="1"/>
  <c r="I111" i="18" s="1"/>
  <c r="I49" i="17"/>
  <c r="I91" i="18" s="1"/>
  <c r="J59" i="17"/>
  <c r="J60" i="17" s="1"/>
  <c r="J61" i="17" s="1"/>
  <c r="J111" i="18" s="1"/>
  <c r="J49" i="17"/>
  <c r="J91" i="18" s="1"/>
  <c r="E59" i="17"/>
  <c r="E60" i="17" s="1"/>
  <c r="E61" i="17" s="1"/>
  <c r="E111" i="18" s="1"/>
  <c r="E49" i="17"/>
  <c r="E91" i="18" s="1"/>
  <c r="K59" i="17"/>
  <c r="K49" i="17"/>
  <c r="K91" i="18" s="1"/>
  <c r="P112" i="18" s="1"/>
  <c r="M65" i="17"/>
  <c r="M66" i="17" s="1"/>
  <c r="M115" i="18" s="1"/>
  <c r="F59" i="17"/>
  <c r="F60" i="17" s="1"/>
  <c r="F61" i="17" s="1"/>
  <c r="F111" i="18" s="1"/>
  <c r="F49" i="17"/>
  <c r="F91" i="18" s="1"/>
  <c r="M59" i="17"/>
  <c r="M49" i="17"/>
  <c r="M91" i="18" s="1"/>
  <c r="H59" i="17"/>
  <c r="H60" i="17" s="1"/>
  <c r="H61" i="17" s="1"/>
  <c r="H111" i="18" s="1"/>
  <c r="H49" i="17"/>
  <c r="H91" i="18" s="1"/>
  <c r="E194" i="16"/>
  <c r="E195" i="16" s="1"/>
  <c r="E175" i="18" s="1"/>
  <c r="M194" i="16"/>
  <c r="M195" i="16" s="1"/>
  <c r="M175" i="18" s="1"/>
  <c r="E138" i="14"/>
  <c r="G86" i="12"/>
  <c r="L144" i="14"/>
  <c r="G152" i="15"/>
  <c r="G153" i="15" s="1"/>
  <c r="G154" i="15" s="1"/>
  <c r="G187" i="18" s="1"/>
  <c r="L72" i="15"/>
  <c r="L80" i="15" s="1"/>
  <c r="J72" i="15"/>
  <c r="J80" i="15" s="1"/>
  <c r="G131" i="15"/>
  <c r="G132" i="15" s="1"/>
  <c r="G134" i="15" s="1"/>
  <c r="G138" i="15" s="1"/>
  <c r="F152" i="15" s="1"/>
  <c r="F153" i="15" s="1"/>
  <c r="F154" i="15" s="1"/>
  <c r="F187" i="18" s="1"/>
  <c r="I131" i="15"/>
  <c r="I132" i="15" s="1"/>
  <c r="I134" i="15" s="1"/>
  <c r="I138" i="15" s="1"/>
  <c r="I142" i="15" s="1"/>
  <c r="I163" i="18" s="1"/>
  <c r="D131" i="15"/>
  <c r="D132" i="15" s="1"/>
  <c r="D134" i="15" s="1"/>
  <c r="D138" i="15" s="1"/>
  <c r="D142" i="15" s="1"/>
  <c r="D163" i="18" s="1"/>
  <c r="E144" i="14"/>
  <c r="D138" i="14"/>
  <c r="D146" i="14" s="1"/>
  <c r="D150" i="14" s="1"/>
  <c r="D154" i="14" s="1"/>
  <c r="D162" i="18" s="1"/>
  <c r="K137" i="14"/>
  <c r="K142" i="14" s="1"/>
  <c r="K143" i="14" s="1"/>
  <c r="K144" i="14" s="1"/>
  <c r="N138" i="14"/>
  <c r="G137" i="14"/>
  <c r="G138" i="14" s="1"/>
  <c r="I194" i="16"/>
  <c r="I195" i="16" s="1"/>
  <c r="I175" i="18" s="1"/>
  <c r="M186" i="16"/>
  <c r="L198" i="16" s="1"/>
  <c r="L186" i="16"/>
  <c r="L188" i="16" s="1"/>
  <c r="L164" i="18" s="1"/>
  <c r="K176" i="16"/>
  <c r="K181" i="16"/>
  <c r="K182" i="16" s="1"/>
  <c r="H176" i="16"/>
  <c r="H181" i="16"/>
  <c r="H182" i="16" s="1"/>
  <c r="I176" i="16"/>
  <c r="I181" i="16"/>
  <c r="I182" i="16" s="1"/>
  <c r="J194" i="16"/>
  <c r="J195" i="16" s="1"/>
  <c r="J175" i="18" s="1"/>
  <c r="F176" i="16"/>
  <c r="F181" i="16"/>
  <c r="F182" i="16" s="1"/>
  <c r="N176" i="16"/>
  <c r="N181" i="16"/>
  <c r="N182" i="16" s="1"/>
  <c r="E176" i="16"/>
  <c r="E181" i="16"/>
  <c r="E182" i="16" s="1"/>
  <c r="D194" i="16"/>
  <c r="D195" i="16" s="1"/>
  <c r="D175" i="18" s="1"/>
  <c r="I72" i="15"/>
  <c r="E77" i="15"/>
  <c r="E80" i="15" s="1"/>
  <c r="K72" i="15"/>
  <c r="H194" i="16"/>
  <c r="H195" i="16" s="1"/>
  <c r="H175" i="18" s="1"/>
  <c r="F194" i="16"/>
  <c r="F195" i="16" s="1"/>
  <c r="F175" i="18" s="1"/>
  <c r="E86" i="15"/>
  <c r="E90" i="15"/>
  <c r="E62" i="15"/>
  <c r="G79" i="14"/>
  <c r="L86" i="15"/>
  <c r="L62" i="15"/>
  <c r="L90" i="15"/>
  <c r="D94" i="14"/>
  <c r="D82" i="14" s="1"/>
  <c r="D66" i="14"/>
  <c r="D98" i="14"/>
  <c r="I94" i="14"/>
  <c r="I82" i="14" s="1"/>
  <c r="I66" i="14"/>
  <c r="I98" i="14"/>
  <c r="D72" i="15"/>
  <c r="F62" i="15"/>
  <c r="F90" i="15"/>
  <c r="F86" i="15"/>
  <c r="F94" i="14"/>
  <c r="F82" i="14" s="1"/>
  <c r="F66" i="14"/>
  <c r="F98" i="14"/>
  <c r="N62" i="15"/>
  <c r="N86" i="15"/>
  <c r="M141" i="14"/>
  <c r="M138" i="14"/>
  <c r="G77" i="15"/>
  <c r="H77" i="15"/>
  <c r="M62" i="15"/>
  <c r="M86" i="15"/>
  <c r="M90" i="15"/>
  <c r="M79" i="14"/>
  <c r="H94" i="14"/>
  <c r="H82" i="14" s="1"/>
  <c r="H98" i="14"/>
  <c r="H66" i="14"/>
  <c r="J79" i="14"/>
  <c r="K98" i="14"/>
  <c r="K66" i="14"/>
  <c r="K94" i="14"/>
  <c r="K82" i="14" s="1"/>
  <c r="M131" i="15"/>
  <c r="M132" i="15" s="1"/>
  <c r="M134" i="15" s="1"/>
  <c r="M138" i="15" s="1"/>
  <c r="D79" i="14"/>
  <c r="J62" i="15"/>
  <c r="J90" i="15"/>
  <c r="J86" i="15"/>
  <c r="K86" i="15"/>
  <c r="K62" i="15"/>
  <c r="K90" i="15"/>
  <c r="J142" i="15"/>
  <c r="J163" i="18" s="1"/>
  <c r="I152" i="15"/>
  <c r="I153" i="15" s="1"/>
  <c r="I154" i="15" s="1"/>
  <c r="I187" i="18" s="1"/>
  <c r="E142" i="15"/>
  <c r="E163" i="18" s="1"/>
  <c r="D152" i="15"/>
  <c r="D153" i="15" s="1"/>
  <c r="D154" i="15" s="1"/>
  <c r="D187" i="18" s="1"/>
  <c r="J138" i="14"/>
  <c r="J141" i="14"/>
  <c r="J144" i="14" s="1"/>
  <c r="D77" i="15"/>
  <c r="F77" i="15"/>
  <c r="L98" i="14"/>
  <c r="L94" i="14"/>
  <c r="L82" i="14" s="1"/>
  <c r="L66" i="14"/>
  <c r="N72" i="15"/>
  <c r="G72" i="15"/>
  <c r="H86" i="15"/>
  <c r="H62" i="15"/>
  <c r="H90" i="15"/>
  <c r="I77" i="15"/>
  <c r="M77" i="15"/>
  <c r="N144" i="14"/>
  <c r="N146" i="14" s="1"/>
  <c r="N150" i="14" s="1"/>
  <c r="M164" i="14" s="1"/>
  <c r="M165" i="14" s="1"/>
  <c r="M166" i="14" s="1"/>
  <c r="M186" i="18" s="1"/>
  <c r="G24" i="14"/>
  <c r="H24" i="14"/>
  <c r="H79" i="14"/>
  <c r="J98" i="14"/>
  <c r="J94" i="14"/>
  <c r="J82" i="14" s="1"/>
  <c r="J66" i="14"/>
  <c r="K79" i="14"/>
  <c r="L142" i="15"/>
  <c r="L163" i="18" s="1"/>
  <c r="K152" i="15"/>
  <c r="K153" i="15" s="1"/>
  <c r="K154" i="15" s="1"/>
  <c r="K187" i="18" s="1"/>
  <c r="E94" i="14"/>
  <c r="E82" i="14" s="1"/>
  <c r="E98" i="14"/>
  <c r="E66" i="14"/>
  <c r="K77" i="15"/>
  <c r="K80" i="15" s="1"/>
  <c r="G174" i="16"/>
  <c r="F72" i="15"/>
  <c r="F80" i="15" s="1"/>
  <c r="L79" i="14"/>
  <c r="F142" i="15"/>
  <c r="F163" i="18" s="1"/>
  <c r="E152" i="15"/>
  <c r="E153" i="15" s="1"/>
  <c r="E154" i="15" s="1"/>
  <c r="E187" i="18" s="1"/>
  <c r="H72" i="15"/>
  <c r="I62" i="15"/>
  <c r="I86" i="15"/>
  <c r="I90" i="15"/>
  <c r="M72" i="15"/>
  <c r="N94" i="14"/>
  <c r="N82" i="14" s="1"/>
  <c r="N66" i="14"/>
  <c r="L138" i="14"/>
  <c r="L146" i="14" s="1"/>
  <c r="L150" i="14" s="1"/>
  <c r="K142" i="15"/>
  <c r="K163" i="18" s="1"/>
  <c r="J152" i="15"/>
  <c r="J153" i="15" s="1"/>
  <c r="J154" i="15" s="1"/>
  <c r="J187" i="18" s="1"/>
  <c r="G98" i="14"/>
  <c r="G66" i="14"/>
  <c r="G94" i="14"/>
  <c r="G82" i="14" s="1"/>
  <c r="F142" i="14"/>
  <c r="F143" i="14" s="1"/>
  <c r="F144" i="14" s="1"/>
  <c r="F146" i="14" s="1"/>
  <c r="F150" i="14" s="1"/>
  <c r="J174" i="16"/>
  <c r="E79" i="14"/>
  <c r="I79" i="14"/>
  <c r="I141" i="14"/>
  <c r="I144" i="14" s="1"/>
  <c r="I138" i="14"/>
  <c r="D86" i="15"/>
  <c r="D90" i="15"/>
  <c r="D62" i="15"/>
  <c r="F79" i="14"/>
  <c r="N77" i="15"/>
  <c r="H138" i="14"/>
  <c r="H141" i="14"/>
  <c r="H144" i="14" s="1"/>
  <c r="M142" i="14"/>
  <c r="M143" i="14" s="1"/>
  <c r="D174" i="16"/>
  <c r="G90" i="15"/>
  <c r="G62" i="15"/>
  <c r="G86" i="15"/>
  <c r="I80" i="15"/>
  <c r="M94" i="14"/>
  <c r="M82" i="14" s="1"/>
  <c r="M98" i="14"/>
  <c r="M66" i="14"/>
  <c r="G142" i="15"/>
  <c r="G163" i="18" s="1"/>
  <c r="E164" i="12"/>
  <c r="E165" i="12" s="1"/>
  <c r="E167" i="12" s="1"/>
  <c r="L164" i="12"/>
  <c r="L165" i="12" s="1"/>
  <c r="L167" i="12" s="1"/>
  <c r="C9" i="7"/>
  <c r="C11" i="7" s="1"/>
  <c r="L11" i="7" s="1"/>
  <c r="D11" i="7"/>
  <c r="J105" i="13"/>
  <c r="J106" i="13" s="1"/>
  <c r="G105" i="13"/>
  <c r="G106" i="13" s="1"/>
  <c r="K105" i="13"/>
  <c r="K106" i="13" s="1"/>
  <c r="L105" i="13"/>
  <c r="L106" i="13" s="1"/>
  <c r="F105" i="13"/>
  <c r="F106" i="13" s="1"/>
  <c r="D105" i="13"/>
  <c r="D106" i="13" s="1"/>
  <c r="I105" i="13"/>
  <c r="I106" i="13" s="1"/>
  <c r="D86" i="12"/>
  <c r="D91" i="12" s="1"/>
  <c r="D92" i="12" s="1"/>
  <c r="D94" i="12" s="1"/>
  <c r="D96" i="12" s="1"/>
  <c r="D98" i="12" s="1"/>
  <c r="D102" i="12" s="1"/>
  <c r="D87" i="18" s="1"/>
  <c r="I71" i="13"/>
  <c r="I72" i="13" s="1"/>
  <c r="I110" i="18" s="1"/>
  <c r="I128" i="18" s="1"/>
  <c r="K71" i="13"/>
  <c r="K72" i="13" s="1"/>
  <c r="K110" i="18" s="1"/>
  <c r="H71" i="13"/>
  <c r="H72" i="13" s="1"/>
  <c r="H110" i="18" s="1"/>
  <c r="H128" i="18" s="1"/>
  <c r="G71" i="13"/>
  <c r="G72" i="13" s="1"/>
  <c r="G110" i="18" s="1"/>
  <c r="G128" i="18" s="1"/>
  <c r="M71" i="13"/>
  <c r="M72" i="13" s="1"/>
  <c r="M110" i="18" s="1"/>
  <c r="D71" i="13"/>
  <c r="D72" i="13" s="1"/>
  <c r="D110" i="18" s="1"/>
  <c r="D128" i="18" s="1"/>
  <c r="E71" i="13"/>
  <c r="E72" i="13" s="1"/>
  <c r="E110" i="18" s="1"/>
  <c r="E128" i="18" s="1"/>
  <c r="F89" i="12"/>
  <c r="I86" i="12"/>
  <c r="J91" i="12" s="1"/>
  <c r="J92" i="12" s="1"/>
  <c r="J94" i="12" s="1"/>
  <c r="J96" i="12" s="1"/>
  <c r="J98" i="12" s="1"/>
  <c r="E86" i="12"/>
  <c r="F91" i="12" s="1"/>
  <c r="F92" i="12" s="1"/>
  <c r="F94" i="12" s="1"/>
  <c r="F96" i="12" s="1"/>
  <c r="F98" i="12" s="1"/>
  <c r="I164" i="12"/>
  <c r="I165" i="12" s="1"/>
  <c r="I167" i="12" s="1"/>
  <c r="N89" i="12"/>
  <c r="M164" i="12"/>
  <c r="M165" i="12" s="1"/>
  <c r="M167" i="12" s="1"/>
  <c r="M145" i="12"/>
  <c r="M142" i="12"/>
  <c r="K142" i="12"/>
  <c r="K145" i="12"/>
  <c r="D145" i="12"/>
  <c r="D142" i="12"/>
  <c r="H145" i="12"/>
  <c r="H142" i="12"/>
  <c r="I145" i="12"/>
  <c r="I142" i="12"/>
  <c r="N142" i="12"/>
  <c r="N145" i="12"/>
  <c r="E11" i="10"/>
  <c r="C12" i="10" s="1"/>
  <c r="D12" i="13"/>
  <c r="D12" i="12"/>
  <c r="F12" i="13"/>
  <c r="F12" i="12"/>
  <c r="I12" i="13"/>
  <c r="M12" i="13"/>
  <c r="M12" i="12"/>
  <c r="G142" i="12"/>
  <c r="G145" i="12"/>
  <c r="L142" i="12"/>
  <c r="L145" i="12"/>
  <c r="M89" i="12"/>
  <c r="F142" i="12"/>
  <c r="F145" i="12"/>
  <c r="J145" i="12"/>
  <c r="J142" i="12"/>
  <c r="D164" i="12"/>
  <c r="D165" i="12" s="1"/>
  <c r="D167" i="12" s="1"/>
  <c r="G164" i="12"/>
  <c r="G165" i="12" s="1"/>
  <c r="G167" i="12" s="1"/>
  <c r="E145" i="12"/>
  <c r="E142" i="12"/>
  <c r="J164" i="12"/>
  <c r="J165" i="12" s="1"/>
  <c r="J167" i="12" s="1"/>
  <c r="F164" i="12"/>
  <c r="F165" i="12" s="1"/>
  <c r="F167" i="12" s="1"/>
  <c r="H164" i="12"/>
  <c r="H165" i="12" s="1"/>
  <c r="H167" i="12" s="1"/>
  <c r="G91" i="12"/>
  <c r="G92" i="12" s="1"/>
  <c r="G94" i="12" s="1"/>
  <c r="G96" i="12" s="1"/>
  <c r="G98" i="12" s="1"/>
  <c r="H89" i="12"/>
  <c r="N91" i="12"/>
  <c r="N92" i="12" s="1"/>
  <c r="N94" i="12" s="1"/>
  <c r="N96" i="12" s="1"/>
  <c r="N98" i="12" s="1"/>
  <c r="M114" i="12" s="1"/>
  <c r="M115" i="12" s="1"/>
  <c r="M116" i="12" s="1"/>
  <c r="M109" i="18" s="1"/>
  <c r="K91" i="12"/>
  <c r="K92" i="12" s="1"/>
  <c r="K94" i="12" s="1"/>
  <c r="K96" i="12" s="1"/>
  <c r="K98" i="12" s="1"/>
  <c r="L86" i="12"/>
  <c r="L89" i="12"/>
  <c r="U29" i="1"/>
  <c r="U30" i="1" s="1"/>
  <c r="C8" i="1"/>
  <c r="C9" i="1" s="1"/>
  <c r="F19" i="11"/>
  <c r="D24" i="11"/>
  <c r="F24" i="11" s="1"/>
  <c r="D142" i="18" l="1"/>
  <c r="D134" i="18"/>
  <c r="P91" i="18"/>
  <c r="D115" i="16"/>
  <c r="D117" i="16" s="1"/>
  <c r="D111" i="16"/>
  <c r="P101" i="18"/>
  <c r="J54" i="16"/>
  <c r="J49" i="16"/>
  <c r="J32" i="16"/>
  <c r="I38" i="16"/>
  <c r="I43" i="16"/>
  <c r="H49" i="16"/>
  <c r="H54" i="16"/>
  <c r="H32" i="16"/>
  <c r="G43" i="16"/>
  <c r="G38" i="16"/>
  <c r="H130" i="16"/>
  <c r="H101" i="18" s="1"/>
  <c r="P100" i="18" s="1"/>
  <c r="G123" i="16"/>
  <c r="F133" i="16"/>
  <c r="F134" i="16" s="1"/>
  <c r="F135" i="16" s="1"/>
  <c r="F114" i="18" s="1"/>
  <c r="E123" i="16"/>
  <c r="D133" i="16"/>
  <c r="D134" i="16" s="1"/>
  <c r="D135" i="16" s="1"/>
  <c r="D114" i="18" s="1"/>
  <c r="L43" i="16"/>
  <c r="L38" i="16"/>
  <c r="I54" i="16"/>
  <c r="I49" i="16"/>
  <c r="I32" i="16"/>
  <c r="I13" i="16"/>
  <c r="H12" i="17"/>
  <c r="E54" i="16"/>
  <c r="E49" i="16"/>
  <c r="E32" i="16"/>
  <c r="I117" i="16"/>
  <c r="H111" i="16"/>
  <c r="H121" i="16" s="1"/>
  <c r="K117" i="16"/>
  <c r="F111" i="16"/>
  <c r="M144" i="14"/>
  <c r="M146" i="14" s="1"/>
  <c r="M150" i="14" s="1"/>
  <c r="N49" i="16"/>
  <c r="N32" i="16"/>
  <c r="N54" i="16"/>
  <c r="M49" i="16"/>
  <c r="M54" i="16"/>
  <c r="M32" i="16"/>
  <c r="K38" i="16"/>
  <c r="K43" i="16"/>
  <c r="K32" i="16"/>
  <c r="K34" i="16" s="1"/>
  <c r="K49" i="16"/>
  <c r="K54" i="16"/>
  <c r="J38" i="16"/>
  <c r="J43" i="16"/>
  <c r="J12" i="17"/>
  <c r="G49" i="16"/>
  <c r="G54" i="16"/>
  <c r="G32" i="16"/>
  <c r="F38" i="16"/>
  <c r="F43" i="16"/>
  <c r="E38" i="16"/>
  <c r="E43" i="16"/>
  <c r="G21" i="17"/>
  <c r="I21" i="17"/>
  <c r="J21" i="17"/>
  <c r="H21" i="17"/>
  <c r="F21" i="17"/>
  <c r="E21" i="17"/>
  <c r="D21" i="17"/>
  <c r="M21" i="17"/>
  <c r="L21" i="17"/>
  <c r="K21" i="17"/>
  <c r="M111" i="16"/>
  <c r="M115" i="16"/>
  <c r="M117" i="16" s="1"/>
  <c r="K111" i="16"/>
  <c r="N117" i="16"/>
  <c r="H80" i="15"/>
  <c r="N38" i="16"/>
  <c r="N43" i="16"/>
  <c r="M38" i="16"/>
  <c r="M43" i="16"/>
  <c r="L32" i="16"/>
  <c r="L49" i="16"/>
  <c r="L54" i="16"/>
  <c r="J13" i="16"/>
  <c r="H43" i="16"/>
  <c r="H38" i="16"/>
  <c r="F49" i="16"/>
  <c r="F54" i="16"/>
  <c r="F32" i="16"/>
  <c r="E13" i="16"/>
  <c r="M61" i="16" s="1"/>
  <c r="D38" i="16"/>
  <c r="D43" i="16"/>
  <c r="D32" i="16"/>
  <c r="D49" i="16"/>
  <c r="D54" i="16"/>
  <c r="I111" i="16"/>
  <c r="I121" i="16" s="1"/>
  <c r="J117" i="16"/>
  <c r="J121" i="16" s="1"/>
  <c r="L111" i="16"/>
  <c r="L121" i="16" s="1"/>
  <c r="F117" i="16"/>
  <c r="N111" i="16"/>
  <c r="R112" i="18"/>
  <c r="K95" i="15"/>
  <c r="G95" i="15"/>
  <c r="J95" i="15"/>
  <c r="F95" i="15"/>
  <c r="M95" i="15"/>
  <c r="I95" i="15"/>
  <c r="E95" i="15"/>
  <c r="L95" i="15"/>
  <c r="H95" i="15"/>
  <c r="D95" i="15"/>
  <c r="J63" i="13"/>
  <c r="F63" i="13"/>
  <c r="L62" i="13"/>
  <c r="H62" i="13"/>
  <c r="D62" i="13"/>
  <c r="M63" i="13"/>
  <c r="I63" i="13"/>
  <c r="E63" i="13"/>
  <c r="K62" i="13"/>
  <c r="G62" i="13"/>
  <c r="L63" i="13"/>
  <c r="H63" i="13"/>
  <c r="D63" i="13"/>
  <c r="J62" i="13"/>
  <c r="F62" i="13"/>
  <c r="K63" i="13"/>
  <c r="G63" i="13"/>
  <c r="M62" i="13"/>
  <c r="I62" i="13"/>
  <c r="E62" i="13"/>
  <c r="J107" i="12"/>
  <c r="F107" i="12"/>
  <c r="L106" i="12"/>
  <c r="H106" i="12"/>
  <c r="D106" i="12"/>
  <c r="M107" i="12"/>
  <c r="I107" i="12"/>
  <c r="E107" i="12"/>
  <c r="K106" i="12"/>
  <c r="G106" i="12"/>
  <c r="L107" i="12"/>
  <c r="H107" i="12"/>
  <c r="D107" i="12"/>
  <c r="J106" i="12"/>
  <c r="F106" i="12"/>
  <c r="K107" i="12"/>
  <c r="G107" i="12"/>
  <c r="M106" i="12"/>
  <c r="I106" i="12"/>
  <c r="E106" i="12"/>
  <c r="I108" i="13"/>
  <c r="I184" i="18"/>
  <c r="L108" i="13"/>
  <c r="L184" i="18"/>
  <c r="M108" i="13"/>
  <c r="M184" i="18"/>
  <c r="K64" i="13"/>
  <c r="K65" i="13" s="1"/>
  <c r="K98" i="18" s="1"/>
  <c r="D108" i="13"/>
  <c r="D184" i="18"/>
  <c r="H108" i="13"/>
  <c r="H184" i="18"/>
  <c r="J108" i="13"/>
  <c r="J184" i="18"/>
  <c r="F108" i="13"/>
  <c r="F184" i="18"/>
  <c r="K108" i="13"/>
  <c r="K184" i="18"/>
  <c r="I91" i="12"/>
  <c r="I92" i="12" s="1"/>
  <c r="I94" i="12" s="1"/>
  <c r="I96" i="12" s="1"/>
  <c r="I98" i="12" s="1"/>
  <c r="H147" i="12"/>
  <c r="H148" i="12" s="1"/>
  <c r="H150" i="12" s="1"/>
  <c r="H152" i="12" s="1"/>
  <c r="H154" i="12" s="1"/>
  <c r="H158" i="12" s="1"/>
  <c r="H161" i="18" s="1"/>
  <c r="E108" i="13"/>
  <c r="E184" i="18"/>
  <c r="G108" i="13"/>
  <c r="G184" i="18"/>
  <c r="G180" i="18"/>
  <c r="G171" i="18"/>
  <c r="D180" i="18"/>
  <c r="D171" i="18"/>
  <c r="E180" i="18"/>
  <c r="E171" i="18"/>
  <c r="J180" i="18"/>
  <c r="J171" i="18"/>
  <c r="M180" i="18"/>
  <c r="M171" i="18"/>
  <c r="F180" i="18"/>
  <c r="F171" i="18"/>
  <c r="H180" i="18"/>
  <c r="H171" i="18"/>
  <c r="I180" i="18"/>
  <c r="I171" i="18"/>
  <c r="L180" i="18"/>
  <c r="L171" i="18"/>
  <c r="K138" i="14"/>
  <c r="K146" i="14" s="1"/>
  <c r="K150" i="14" s="1"/>
  <c r="G142" i="14"/>
  <c r="G143" i="14" s="1"/>
  <c r="D24" i="14"/>
  <c r="M23" i="14"/>
  <c r="D23" i="14"/>
  <c r="K23" i="14"/>
  <c r="G23" i="14"/>
  <c r="F23" i="14"/>
  <c r="E146" i="14"/>
  <c r="E150" i="14" s="1"/>
  <c r="L23" i="14"/>
  <c r="I23" i="14"/>
  <c r="H23" i="14"/>
  <c r="N23" i="14"/>
  <c r="J23" i="14"/>
  <c r="E23" i="14"/>
  <c r="F24" i="14"/>
  <c r="G64" i="17"/>
  <c r="G65" i="17" s="1"/>
  <c r="G66" i="17" s="1"/>
  <c r="G115" i="18" s="1"/>
  <c r="E64" i="17"/>
  <c r="E65" i="17" s="1"/>
  <c r="E66" i="17" s="1"/>
  <c r="I64" i="17"/>
  <c r="I65" i="17" s="1"/>
  <c r="I66" i="17" s="1"/>
  <c r="I115" i="18" s="1"/>
  <c r="N15" i="17"/>
  <c r="N18" i="17" s="1"/>
  <c r="M33" i="17" s="1"/>
  <c r="M34" i="17" s="1"/>
  <c r="M35" i="17" s="1"/>
  <c r="M41" i="18" s="1"/>
  <c r="M263" i="18" s="1"/>
  <c r="M15" i="17"/>
  <c r="J15" i="17"/>
  <c r="K74" i="13"/>
  <c r="I64" i="13"/>
  <c r="I65" i="13" s="1"/>
  <c r="I98" i="18" s="1"/>
  <c r="K60" i="17"/>
  <c r="K61" i="17" s="1"/>
  <c r="J64" i="17"/>
  <c r="J65" i="17" s="1"/>
  <c r="J66" i="17" s="1"/>
  <c r="L15" i="17"/>
  <c r="F15" i="17"/>
  <c r="E15" i="17"/>
  <c r="D15" i="17"/>
  <c r="M64" i="13"/>
  <c r="M65" i="13" s="1"/>
  <c r="L64" i="17"/>
  <c r="L65" i="17" s="1"/>
  <c r="L66" i="17" s="1"/>
  <c r="D64" i="17"/>
  <c r="D65" i="17" s="1"/>
  <c r="D66" i="17" s="1"/>
  <c r="H64" i="17"/>
  <c r="H65" i="17" s="1"/>
  <c r="H66" i="17" s="1"/>
  <c r="I68" i="17"/>
  <c r="F64" i="17"/>
  <c r="F65" i="17" s="1"/>
  <c r="F66" i="17" s="1"/>
  <c r="G68" i="17"/>
  <c r="K64" i="17"/>
  <c r="K65" i="17" s="1"/>
  <c r="K66" i="17" s="1"/>
  <c r="K115" i="18" s="1"/>
  <c r="G15" i="17"/>
  <c r="H91" i="12"/>
  <c r="H92" i="12" s="1"/>
  <c r="H94" i="12" s="1"/>
  <c r="H96" i="12" s="1"/>
  <c r="H98" i="12" s="1"/>
  <c r="K15" i="17"/>
  <c r="I15" i="17"/>
  <c r="H15" i="17"/>
  <c r="D64" i="13"/>
  <c r="D65" i="13" s="1"/>
  <c r="M60" i="17"/>
  <c r="M61" i="17" s="1"/>
  <c r="H64" i="13"/>
  <c r="H65" i="13" s="1"/>
  <c r="M80" i="15"/>
  <c r="H152" i="15"/>
  <c r="H153" i="15" s="1"/>
  <c r="H154" i="15" s="1"/>
  <c r="H187" i="18" s="1"/>
  <c r="E81" i="15"/>
  <c r="E82" i="15" s="1"/>
  <c r="E84" i="15" s="1"/>
  <c r="E88" i="15" s="1"/>
  <c r="L81" i="15"/>
  <c r="L82" i="15" s="1"/>
  <c r="L84" i="15" s="1"/>
  <c r="L88" i="15" s="1"/>
  <c r="F81" i="15"/>
  <c r="F82" i="15" s="1"/>
  <c r="F84" i="15" s="1"/>
  <c r="F88" i="15" s="1"/>
  <c r="F92" i="15" s="1"/>
  <c r="F89" i="18" s="1"/>
  <c r="M24" i="14"/>
  <c r="H146" i="14"/>
  <c r="H150" i="14" s="1"/>
  <c r="H154" i="14" s="1"/>
  <c r="H162" i="18" s="1"/>
  <c r="E24" i="14"/>
  <c r="I146" i="14"/>
  <c r="I150" i="14" s="1"/>
  <c r="I154" i="14" s="1"/>
  <c r="I162" i="18" s="1"/>
  <c r="J24" i="14"/>
  <c r="K24" i="14"/>
  <c r="K148" i="15"/>
  <c r="K149" i="15" s="1"/>
  <c r="K174" i="18" s="1"/>
  <c r="H186" i="16"/>
  <c r="G198" i="16" s="1"/>
  <c r="K198" i="16"/>
  <c r="K199" i="16" s="1"/>
  <c r="K200" i="16" s="1"/>
  <c r="K188" i="18" s="1"/>
  <c r="E186" i="16"/>
  <c r="D198" i="16" s="1"/>
  <c r="F186" i="16"/>
  <c r="E198" i="16" s="1"/>
  <c r="N186" i="16"/>
  <c r="M198" i="16" s="1"/>
  <c r="M199" i="16" s="1"/>
  <c r="M200" i="16" s="1"/>
  <c r="M188" i="18" s="1"/>
  <c r="I186" i="16"/>
  <c r="H198" i="16" s="1"/>
  <c r="K186" i="16"/>
  <c r="J198" i="16" s="1"/>
  <c r="D176" i="16"/>
  <c r="D181" i="16"/>
  <c r="D182" i="16" s="1"/>
  <c r="J176" i="16"/>
  <c r="J181" i="16"/>
  <c r="J182" i="16" s="1"/>
  <c r="G176" i="16"/>
  <c r="G181" i="16"/>
  <c r="G182" i="16" s="1"/>
  <c r="M188" i="16"/>
  <c r="M164" i="18" s="1"/>
  <c r="L199" i="16"/>
  <c r="L200" i="16" s="1"/>
  <c r="I148" i="15"/>
  <c r="I149" i="15" s="1"/>
  <c r="H148" i="15"/>
  <c r="H149" i="15" s="1"/>
  <c r="G148" i="15"/>
  <c r="G149" i="15" s="1"/>
  <c r="K81" i="15"/>
  <c r="K82" i="15" s="1"/>
  <c r="K84" i="15" s="1"/>
  <c r="K88" i="15" s="1"/>
  <c r="F148" i="15"/>
  <c r="F149" i="15" s="1"/>
  <c r="I81" i="15"/>
  <c r="I82" i="15" s="1"/>
  <c r="I84" i="15" s="1"/>
  <c r="I88" i="15" s="1"/>
  <c r="L148" i="15"/>
  <c r="L149" i="15" s="1"/>
  <c r="L174" i="18" s="1"/>
  <c r="J148" i="15"/>
  <c r="J149" i="15" s="1"/>
  <c r="M148" i="15"/>
  <c r="M149" i="15" s="1"/>
  <c r="M174" i="18" s="1"/>
  <c r="E148" i="15"/>
  <c r="E149" i="15" s="1"/>
  <c r="M81" i="15"/>
  <c r="M82" i="15" s="1"/>
  <c r="M84" i="15" s="1"/>
  <c r="M88" i="15" s="1"/>
  <c r="G80" i="15"/>
  <c r="D80" i="15"/>
  <c r="L154" i="14"/>
  <c r="L162" i="18" s="1"/>
  <c r="K164" i="14"/>
  <c r="K165" i="14" s="1"/>
  <c r="K166" i="14" s="1"/>
  <c r="K186" i="18" s="1"/>
  <c r="M142" i="15"/>
  <c r="M163" i="18" s="1"/>
  <c r="L152" i="15"/>
  <c r="L153" i="15" s="1"/>
  <c r="L154" i="15" s="1"/>
  <c r="L187" i="18" s="1"/>
  <c r="E91" i="12"/>
  <c r="E92" i="12" s="1"/>
  <c r="E94" i="12" s="1"/>
  <c r="E96" i="12" s="1"/>
  <c r="E98" i="12" s="1"/>
  <c r="I74" i="13"/>
  <c r="M83" i="14"/>
  <c r="M88" i="14" s="1"/>
  <c r="M89" i="14" s="1"/>
  <c r="L92" i="15"/>
  <c r="L89" i="18" s="1"/>
  <c r="K102" i="15"/>
  <c r="K103" i="15" s="1"/>
  <c r="K104" i="15" s="1"/>
  <c r="K113" i="18" s="1"/>
  <c r="L64" i="13"/>
  <c r="N24" i="14"/>
  <c r="M26" i="15"/>
  <c r="M21" i="15"/>
  <c r="I11" i="14"/>
  <c r="H26" i="15"/>
  <c r="H21" i="15"/>
  <c r="G25" i="14"/>
  <c r="G11" i="14"/>
  <c r="F20" i="15"/>
  <c r="F25" i="15"/>
  <c r="F11" i="15"/>
  <c r="F26" i="15"/>
  <c r="F21" i="15"/>
  <c r="E21" i="15"/>
  <c r="E26" i="15"/>
  <c r="D26" i="15"/>
  <c r="D21" i="15"/>
  <c r="G81" i="15"/>
  <c r="G82" i="15" s="1"/>
  <c r="G84" i="15" s="1"/>
  <c r="G88" i="15" s="1"/>
  <c r="L83" i="14"/>
  <c r="L88" i="14" s="1"/>
  <c r="L89" i="14" s="1"/>
  <c r="J146" i="14"/>
  <c r="J150" i="14" s="1"/>
  <c r="D148" i="15"/>
  <c r="D149" i="15" s="1"/>
  <c r="G87" i="14"/>
  <c r="H81" i="15"/>
  <c r="H82" i="15" s="1"/>
  <c r="H84" i="15" s="1"/>
  <c r="H88" i="15" s="1"/>
  <c r="E83" i="14"/>
  <c r="E88" i="14" s="1"/>
  <c r="E89" i="14" s="1"/>
  <c r="F64" i="13"/>
  <c r="F65" i="13" s="1"/>
  <c r="M11" i="15"/>
  <c r="M25" i="15"/>
  <c r="M27" i="15" s="1"/>
  <c r="M20" i="15"/>
  <c r="L24" i="14"/>
  <c r="I24" i="14"/>
  <c r="J25" i="14"/>
  <c r="J11" i="14"/>
  <c r="J20" i="15"/>
  <c r="J25" i="15"/>
  <c r="J11" i="15"/>
  <c r="I26" i="15"/>
  <c r="I21" i="15"/>
  <c r="G11" i="15"/>
  <c r="G25" i="15"/>
  <c r="G20" i="15"/>
  <c r="E20" i="15"/>
  <c r="E11" i="15"/>
  <c r="E25" i="15"/>
  <c r="E27" i="15" s="1"/>
  <c r="D25" i="14"/>
  <c r="D11" i="14"/>
  <c r="F87" i="14"/>
  <c r="I92" i="15"/>
  <c r="I89" i="18" s="1"/>
  <c r="H102" i="15"/>
  <c r="H103" i="15" s="1"/>
  <c r="H104" i="15" s="1"/>
  <c r="H113" i="18" s="1"/>
  <c r="M154" i="14"/>
  <c r="M162" i="18" s="1"/>
  <c r="L164" i="14"/>
  <c r="L165" i="14" s="1"/>
  <c r="L166" i="14" s="1"/>
  <c r="L186" i="18" s="1"/>
  <c r="F154" i="14"/>
  <c r="F162" i="18" s="1"/>
  <c r="E164" i="14"/>
  <c r="E165" i="14" s="1"/>
  <c r="E166" i="14" s="1"/>
  <c r="E186" i="18" s="1"/>
  <c r="K92" i="15"/>
  <c r="K89" i="18" s="1"/>
  <c r="P110" i="18" s="1"/>
  <c r="J102" i="15"/>
  <c r="J103" i="15" s="1"/>
  <c r="J104" i="15" s="1"/>
  <c r="J113" i="18" s="1"/>
  <c r="L65" i="13"/>
  <c r="N25" i="15"/>
  <c r="N11" i="15"/>
  <c r="N20" i="15"/>
  <c r="N26" i="15"/>
  <c r="N21" i="15"/>
  <c r="M11" i="14"/>
  <c r="L11" i="14"/>
  <c r="L20" i="15"/>
  <c r="L25" i="15"/>
  <c r="L11" i="15"/>
  <c r="E25" i="14"/>
  <c r="E11" i="14"/>
  <c r="D25" i="15"/>
  <c r="D11" i="15"/>
  <c r="D20" i="15"/>
  <c r="D22" i="15" s="1"/>
  <c r="N80" i="15"/>
  <c r="H87" i="14"/>
  <c r="G144" i="14"/>
  <c r="G146" i="14" s="1"/>
  <c r="G150" i="14" s="1"/>
  <c r="I83" i="14"/>
  <c r="I88" i="14" s="1"/>
  <c r="I89" i="14" s="1"/>
  <c r="D83" i="14"/>
  <c r="D88" i="14" s="1"/>
  <c r="D89" i="14" s="1"/>
  <c r="M92" i="15"/>
  <c r="M89" i="18" s="1"/>
  <c r="L102" i="15"/>
  <c r="L103" i="15" s="1"/>
  <c r="L104" i="15" s="1"/>
  <c r="L113" i="18" s="1"/>
  <c r="J81" i="15"/>
  <c r="J82" i="15" s="1"/>
  <c r="J84" i="15" s="1"/>
  <c r="J88" i="15" s="1"/>
  <c r="J83" i="14"/>
  <c r="J88" i="14" s="1"/>
  <c r="J89" i="14" s="1"/>
  <c r="N11" i="14"/>
  <c r="J103" i="14" s="1"/>
  <c r="L21" i="15"/>
  <c r="L26" i="15"/>
  <c r="K11" i="14"/>
  <c r="K26" i="15"/>
  <c r="K21" i="15"/>
  <c r="K25" i="15"/>
  <c r="K11" i="15"/>
  <c r="K20" i="15"/>
  <c r="J26" i="15"/>
  <c r="J21" i="15"/>
  <c r="I20" i="15"/>
  <c r="I11" i="15"/>
  <c r="I25" i="15"/>
  <c r="I27" i="15" s="1"/>
  <c r="H20" i="15"/>
  <c r="H22" i="15" s="1"/>
  <c r="H11" i="15"/>
  <c r="H25" i="15"/>
  <c r="H25" i="14"/>
  <c r="H11" i="14"/>
  <c r="G26" i="15"/>
  <c r="G21" i="15"/>
  <c r="F25" i="14"/>
  <c r="F11" i="14"/>
  <c r="K83" i="14"/>
  <c r="K88" i="14" s="1"/>
  <c r="K89" i="14" s="1"/>
  <c r="E92" i="15"/>
  <c r="E89" i="18" s="1"/>
  <c r="D102" i="15"/>
  <c r="D103" i="15" s="1"/>
  <c r="D104" i="15" s="1"/>
  <c r="D113" i="18" s="1"/>
  <c r="D108" i="12"/>
  <c r="D109" i="12" s="1"/>
  <c r="D111" i="12" s="1"/>
  <c r="L108" i="12"/>
  <c r="L109" i="12" s="1"/>
  <c r="L111" i="12" s="1"/>
  <c r="K108" i="12"/>
  <c r="K109" i="12" s="1"/>
  <c r="K111" i="12" s="1"/>
  <c r="H12" i="12"/>
  <c r="M11" i="7"/>
  <c r="C109" i="13"/>
  <c r="E29" i="12"/>
  <c r="E34" i="12" s="1"/>
  <c r="D29" i="12"/>
  <c r="H29" i="12"/>
  <c r="J29" i="12"/>
  <c r="J34" i="12" s="1"/>
  <c r="I29" i="12"/>
  <c r="I34" i="12" s="1"/>
  <c r="G29" i="12"/>
  <c r="F29" i="12"/>
  <c r="N29" i="12"/>
  <c r="N34" i="12" s="1"/>
  <c r="M29" i="12"/>
  <c r="L29" i="12"/>
  <c r="L34" i="12" s="1"/>
  <c r="K29" i="12"/>
  <c r="K34" i="12" s="1"/>
  <c r="J35" i="13"/>
  <c r="J71" i="13"/>
  <c r="J72" i="13" s="1"/>
  <c r="J110" i="18" s="1"/>
  <c r="J128" i="18" s="1"/>
  <c r="F35" i="13"/>
  <c r="G35" i="13"/>
  <c r="M35" i="13"/>
  <c r="L35" i="13"/>
  <c r="H35" i="13"/>
  <c r="I35" i="13"/>
  <c r="K35" i="13"/>
  <c r="E35" i="13"/>
  <c r="G12" i="13"/>
  <c r="G170" i="12"/>
  <c r="G171" i="12" s="1"/>
  <c r="G172" i="12" s="1"/>
  <c r="G183" i="18" s="1"/>
  <c r="K147" i="12"/>
  <c r="K148" i="12" s="1"/>
  <c r="K150" i="12" s="1"/>
  <c r="K152" i="12" s="1"/>
  <c r="K154" i="12" s="1"/>
  <c r="K158" i="12" s="1"/>
  <c r="K161" i="18" s="1"/>
  <c r="E12" i="13"/>
  <c r="D35" i="13"/>
  <c r="G12" i="12"/>
  <c r="M147" i="12"/>
  <c r="M148" i="12" s="1"/>
  <c r="M150" i="12" s="1"/>
  <c r="M152" i="12" s="1"/>
  <c r="M154" i="12" s="1"/>
  <c r="M158" i="12" s="1"/>
  <c r="M161" i="18" s="1"/>
  <c r="L12" i="12"/>
  <c r="J12" i="12"/>
  <c r="N12" i="13"/>
  <c r="J12" i="13"/>
  <c r="L12" i="13"/>
  <c r="D34" i="12"/>
  <c r="F147" i="12"/>
  <c r="F148" i="12" s="1"/>
  <c r="F150" i="12" s="1"/>
  <c r="F152" i="12" s="1"/>
  <c r="F154" i="12" s="1"/>
  <c r="F158" i="12" s="1"/>
  <c r="F161" i="18" s="1"/>
  <c r="H34" i="12"/>
  <c r="E12" i="12"/>
  <c r="G147" i="12"/>
  <c r="G148" i="12" s="1"/>
  <c r="G150" i="12" s="1"/>
  <c r="G152" i="12" s="1"/>
  <c r="G154" i="12" s="1"/>
  <c r="M44" i="12"/>
  <c r="M28" i="12"/>
  <c r="J28" i="12"/>
  <c r="J44" i="12"/>
  <c r="G34" i="12"/>
  <c r="F34" i="12"/>
  <c r="M34" i="12"/>
  <c r="K12" i="13"/>
  <c r="K12" i="12"/>
  <c r="I28" i="12"/>
  <c r="I44" i="12"/>
  <c r="H12" i="13"/>
  <c r="H44" i="12"/>
  <c r="H28" i="12"/>
  <c r="E44" i="12"/>
  <c r="E28" i="12"/>
  <c r="N28" i="12"/>
  <c r="N12" i="12"/>
  <c r="L28" i="12"/>
  <c r="L44" i="12"/>
  <c r="K44" i="12"/>
  <c r="K28" i="12"/>
  <c r="I12" i="12"/>
  <c r="D28" i="12"/>
  <c r="D44" i="12"/>
  <c r="G28" i="12"/>
  <c r="G44" i="12"/>
  <c r="J147" i="12"/>
  <c r="J148" i="12" s="1"/>
  <c r="J150" i="12" s="1"/>
  <c r="J152" i="12" s="1"/>
  <c r="J154" i="12" s="1"/>
  <c r="I147" i="12"/>
  <c r="I148" i="12" s="1"/>
  <c r="I150" i="12" s="1"/>
  <c r="I152" i="12" s="1"/>
  <c r="I154" i="12" s="1"/>
  <c r="I158" i="12" s="1"/>
  <c r="I161" i="18" s="1"/>
  <c r="D147" i="12"/>
  <c r="D148" i="12" s="1"/>
  <c r="D150" i="12" s="1"/>
  <c r="D152" i="12" s="1"/>
  <c r="D154" i="12" s="1"/>
  <c r="D158" i="12" s="1"/>
  <c r="D161" i="18" s="1"/>
  <c r="E147" i="12"/>
  <c r="E148" i="12" s="1"/>
  <c r="E150" i="12" s="1"/>
  <c r="E152" i="12" s="1"/>
  <c r="E154" i="12" s="1"/>
  <c r="L147" i="12"/>
  <c r="L148" i="12" s="1"/>
  <c r="L150" i="12" s="1"/>
  <c r="L152" i="12" s="1"/>
  <c r="L154" i="12" s="1"/>
  <c r="F28" i="12"/>
  <c r="F44" i="12"/>
  <c r="N147" i="12"/>
  <c r="N148" i="12" s="1"/>
  <c r="N150" i="12" s="1"/>
  <c r="N152" i="12" s="1"/>
  <c r="N154" i="12" s="1"/>
  <c r="M170" i="12" s="1"/>
  <c r="M171" i="12" s="1"/>
  <c r="M172" i="12" s="1"/>
  <c r="M183" i="18" s="1"/>
  <c r="M190" i="18" s="1"/>
  <c r="L91" i="12"/>
  <c r="L92" i="12" s="1"/>
  <c r="L94" i="12" s="1"/>
  <c r="L96" i="12" s="1"/>
  <c r="L98" i="12" s="1"/>
  <c r="M91" i="12"/>
  <c r="M92" i="12" s="1"/>
  <c r="M94" i="12" s="1"/>
  <c r="M96" i="12" s="1"/>
  <c r="M98" i="12" s="1"/>
  <c r="M102" i="12" s="1"/>
  <c r="M87" i="18" s="1"/>
  <c r="E114" i="12"/>
  <c r="E115" i="12" s="1"/>
  <c r="E116" i="12" s="1"/>
  <c r="E109" i="18" s="1"/>
  <c r="F102" i="12"/>
  <c r="F87" i="18" s="1"/>
  <c r="J114" i="12"/>
  <c r="J115" i="12" s="1"/>
  <c r="J116" i="12" s="1"/>
  <c r="J109" i="18" s="1"/>
  <c r="K102" i="12"/>
  <c r="K87" i="18" s="1"/>
  <c r="P108" i="18" s="1"/>
  <c r="F114" i="12"/>
  <c r="F115" i="12" s="1"/>
  <c r="F116" i="12" s="1"/>
  <c r="F109" i="18" s="1"/>
  <c r="G102" i="12"/>
  <c r="G87" i="18" s="1"/>
  <c r="I114" i="12"/>
  <c r="I115" i="12" s="1"/>
  <c r="I116" i="12" s="1"/>
  <c r="I109" i="18" s="1"/>
  <c r="J102" i="12"/>
  <c r="J87" i="18" s="1"/>
  <c r="H114" i="12"/>
  <c r="H115" i="12" s="1"/>
  <c r="H116" i="12" s="1"/>
  <c r="H109" i="18" s="1"/>
  <c r="I102" i="12"/>
  <c r="I87" i="18" s="1"/>
  <c r="D114" i="12"/>
  <c r="D115" i="12" s="1"/>
  <c r="D116" i="12" s="1"/>
  <c r="D109" i="18" s="1"/>
  <c r="E102" i="12"/>
  <c r="E87" i="18" s="1"/>
  <c r="G114" i="12"/>
  <c r="G115" i="12" s="1"/>
  <c r="G116" i="12" s="1"/>
  <c r="G109" i="18" s="1"/>
  <c r="H102" i="12"/>
  <c r="H87" i="18" s="1"/>
  <c r="J123" i="16" l="1"/>
  <c r="I133" i="16"/>
  <c r="I134" i="16" s="1"/>
  <c r="I135" i="16" s="1"/>
  <c r="I114" i="18" s="1"/>
  <c r="L123" i="16"/>
  <c r="K133" i="16"/>
  <c r="K134" i="16" s="1"/>
  <c r="K135" i="16" s="1"/>
  <c r="K114" i="18" s="1"/>
  <c r="K121" i="16"/>
  <c r="F61" i="16"/>
  <c r="G61" i="16"/>
  <c r="E42" i="16"/>
  <c r="E44" i="16" s="1"/>
  <c r="E51" i="16" s="1"/>
  <c r="E37" i="16"/>
  <c r="E39" i="16" s="1"/>
  <c r="E50" i="16" s="1"/>
  <c r="E34" i="16"/>
  <c r="E46" i="16" s="1"/>
  <c r="E56" i="16" s="1"/>
  <c r="L39" i="16"/>
  <c r="L50" i="16" s="1"/>
  <c r="L52" i="16" s="1"/>
  <c r="K156" i="15"/>
  <c r="D42" i="16"/>
  <c r="D44" i="16" s="1"/>
  <c r="D51" i="16" s="1"/>
  <c r="D37" i="16"/>
  <c r="D39" i="16" s="1"/>
  <c r="D50" i="16" s="1"/>
  <c r="D34" i="16"/>
  <c r="F42" i="16"/>
  <c r="F44" i="16" s="1"/>
  <c r="F51" i="16" s="1"/>
  <c r="F37" i="16"/>
  <c r="F39" i="16" s="1"/>
  <c r="F50" i="16" s="1"/>
  <c r="F52" i="16" s="1"/>
  <c r="F34" i="16"/>
  <c r="L42" i="16"/>
  <c r="L37" i="16"/>
  <c r="L34" i="16"/>
  <c r="L46" i="16" s="1"/>
  <c r="L56" i="16" s="1"/>
  <c r="M121" i="16"/>
  <c r="G42" i="16"/>
  <c r="G44" i="16" s="1"/>
  <c r="G51" i="16" s="1"/>
  <c r="G37" i="16"/>
  <c r="G39" i="16" s="1"/>
  <c r="G50" i="16" s="1"/>
  <c r="G34" i="16"/>
  <c r="K42" i="16"/>
  <c r="K37" i="16"/>
  <c r="K39" i="16" s="1"/>
  <c r="K50" i="16" s="1"/>
  <c r="K52" i="16" s="1"/>
  <c r="M42" i="16"/>
  <c r="M37" i="16"/>
  <c r="M39" i="16" s="1"/>
  <c r="M50" i="16" s="1"/>
  <c r="M34" i="16"/>
  <c r="N37" i="16"/>
  <c r="N39" i="16" s="1"/>
  <c r="N50" i="16" s="1"/>
  <c r="N52" i="16" s="1"/>
  <c r="N34" i="16"/>
  <c r="N42" i="16"/>
  <c r="N44" i="16" s="1"/>
  <c r="N51" i="16" s="1"/>
  <c r="H123" i="16"/>
  <c r="G133" i="16"/>
  <c r="G134" i="16" s="1"/>
  <c r="G135" i="16" s="1"/>
  <c r="G114" i="18" s="1"/>
  <c r="J61" i="16"/>
  <c r="I61" i="16"/>
  <c r="E52" i="16"/>
  <c r="I42" i="16"/>
  <c r="I44" i="16" s="1"/>
  <c r="I51" i="16" s="1"/>
  <c r="I37" i="16"/>
  <c r="I39" i="16" s="1"/>
  <c r="I50" i="16" s="1"/>
  <c r="I34" i="16"/>
  <c r="L44" i="16"/>
  <c r="L51" i="16" s="1"/>
  <c r="G90" i="18"/>
  <c r="N121" i="16"/>
  <c r="M133" i="16" s="1"/>
  <c r="M134" i="16" s="1"/>
  <c r="M135" i="16" s="1"/>
  <c r="M114" i="18" s="1"/>
  <c r="I123" i="16"/>
  <c r="H133" i="16"/>
  <c r="H134" i="16" s="1"/>
  <c r="H135" i="16" s="1"/>
  <c r="H114" i="18" s="1"/>
  <c r="M44" i="16"/>
  <c r="M51" i="16" s="1"/>
  <c r="J23" i="17"/>
  <c r="J22" i="17"/>
  <c r="J24" i="17" s="1"/>
  <c r="J25" i="17" s="1"/>
  <c r="J28" i="18" s="1"/>
  <c r="J250" i="18" s="1"/>
  <c r="L23" i="17"/>
  <c r="E23" i="17"/>
  <c r="H22" i="17"/>
  <c r="H24" i="17" s="1"/>
  <c r="H25" i="17" s="1"/>
  <c r="H28" i="18" s="1"/>
  <c r="H250" i="18" s="1"/>
  <c r="K22" i="17"/>
  <c r="D22" i="17"/>
  <c r="D24" i="17" s="1"/>
  <c r="D25" i="17" s="1"/>
  <c r="D28" i="18" s="1"/>
  <c r="M22" i="17"/>
  <c r="M24" i="17" s="1"/>
  <c r="M25" i="17" s="1"/>
  <c r="M28" i="18" s="1"/>
  <c r="M250" i="18" s="1"/>
  <c r="F22" i="17"/>
  <c r="F24" i="17" s="1"/>
  <c r="F25" i="17" s="1"/>
  <c r="F28" i="18" s="1"/>
  <c r="F250" i="18" s="1"/>
  <c r="H23" i="17"/>
  <c r="D23" i="17"/>
  <c r="M23" i="17"/>
  <c r="F23" i="17"/>
  <c r="I22" i="17"/>
  <c r="K23" i="17"/>
  <c r="G23" i="17"/>
  <c r="G22" i="17"/>
  <c r="G24" i="17" s="1"/>
  <c r="G25" i="17" s="1"/>
  <c r="G28" i="18" s="1"/>
  <c r="G250" i="18" s="1"/>
  <c r="I23" i="17"/>
  <c r="L22" i="17"/>
  <c r="L24" i="17" s="1"/>
  <c r="L25" i="17" s="1"/>
  <c r="L28" i="18" s="1"/>
  <c r="L250" i="18" s="1"/>
  <c r="E22" i="17"/>
  <c r="K44" i="16"/>
  <c r="K51" i="16" s="1"/>
  <c r="E61" i="16"/>
  <c r="L61" i="16"/>
  <c r="H42" i="16"/>
  <c r="H44" i="16" s="1"/>
  <c r="H51" i="16" s="1"/>
  <c r="H37" i="16"/>
  <c r="H39" i="16" s="1"/>
  <c r="H34" i="16"/>
  <c r="D121" i="16"/>
  <c r="D123" i="16" s="1"/>
  <c r="I49" i="12"/>
  <c r="K27" i="13"/>
  <c r="K24" i="17"/>
  <c r="K25" i="17" s="1"/>
  <c r="K28" i="18" s="1"/>
  <c r="K250" i="18" s="1"/>
  <c r="E24" i="17"/>
  <c r="E25" i="17" s="1"/>
  <c r="E28" i="18" s="1"/>
  <c r="E250" i="18" s="1"/>
  <c r="I24" i="17"/>
  <c r="I25" i="17" s="1"/>
  <c r="I28" i="18" s="1"/>
  <c r="I250" i="18" s="1"/>
  <c r="F121" i="16"/>
  <c r="K61" i="16"/>
  <c r="D61" i="16"/>
  <c r="H61" i="16"/>
  <c r="E90" i="18"/>
  <c r="J37" i="16"/>
  <c r="J39" i="16" s="1"/>
  <c r="J50" i="16" s="1"/>
  <c r="J34" i="16"/>
  <c r="J46" i="16" s="1"/>
  <c r="J42" i="16"/>
  <c r="J44" i="16" s="1"/>
  <c r="J51" i="16" s="1"/>
  <c r="K36" i="13"/>
  <c r="G36" i="13"/>
  <c r="J36" i="13"/>
  <c r="F36" i="13"/>
  <c r="M36" i="13"/>
  <c r="I36" i="13"/>
  <c r="E36" i="13"/>
  <c r="L36" i="13"/>
  <c r="H36" i="13"/>
  <c r="D36" i="13"/>
  <c r="R110" i="18"/>
  <c r="E103" i="14"/>
  <c r="J49" i="12"/>
  <c r="H49" i="12"/>
  <c r="M49" i="12"/>
  <c r="L27" i="13"/>
  <c r="F27" i="13"/>
  <c r="M157" i="14"/>
  <c r="H157" i="14"/>
  <c r="I157" i="14"/>
  <c r="D157" i="14"/>
  <c r="J157" i="14"/>
  <c r="E157" i="14"/>
  <c r="K157" i="14"/>
  <c r="F157" i="14"/>
  <c r="L157" i="14"/>
  <c r="G157" i="14"/>
  <c r="D103" i="14"/>
  <c r="I103" i="14"/>
  <c r="G103" i="14"/>
  <c r="G49" i="12"/>
  <c r="L49" i="12"/>
  <c r="E27" i="13"/>
  <c r="J27" i="13"/>
  <c r="H103" i="14"/>
  <c r="M103" i="14"/>
  <c r="K103" i="14"/>
  <c r="K49" i="12"/>
  <c r="E49" i="12"/>
  <c r="D27" i="13"/>
  <c r="I27" i="13"/>
  <c r="G27" i="13"/>
  <c r="L103" i="14"/>
  <c r="F103" i="14"/>
  <c r="K97" i="15"/>
  <c r="G97" i="15"/>
  <c r="M96" i="15"/>
  <c r="I96" i="15"/>
  <c r="E96" i="15"/>
  <c r="J97" i="15"/>
  <c r="F97" i="15"/>
  <c r="L96" i="15"/>
  <c r="H96" i="15"/>
  <c r="D96" i="15"/>
  <c r="M97" i="15"/>
  <c r="I97" i="15"/>
  <c r="E97" i="15"/>
  <c r="K96" i="15"/>
  <c r="G96" i="15"/>
  <c r="L97" i="15"/>
  <c r="H97" i="15"/>
  <c r="D97" i="15"/>
  <c r="J96" i="15"/>
  <c r="F96" i="15"/>
  <c r="F49" i="12"/>
  <c r="D49" i="12"/>
  <c r="H27" i="13"/>
  <c r="M27" i="13"/>
  <c r="M68" i="17"/>
  <c r="M111" i="18"/>
  <c r="M128" i="18" s="1"/>
  <c r="K68" i="17"/>
  <c r="K111" i="18"/>
  <c r="K128" i="18" s="1"/>
  <c r="R108" i="18"/>
  <c r="M166" i="18"/>
  <c r="H68" i="17"/>
  <c r="H115" i="18"/>
  <c r="J68" i="17"/>
  <c r="J115" i="18"/>
  <c r="D68" i="17"/>
  <c r="C69" i="17" s="1"/>
  <c r="D115" i="18"/>
  <c r="F68" i="17"/>
  <c r="F115" i="18"/>
  <c r="L68" i="17"/>
  <c r="L115" i="18"/>
  <c r="E68" i="17"/>
  <c r="E115" i="18"/>
  <c r="L202" i="16"/>
  <c r="L188" i="18"/>
  <c r="D156" i="15"/>
  <c r="D174" i="18"/>
  <c r="J156" i="15"/>
  <c r="J174" i="18"/>
  <c r="F156" i="15"/>
  <c r="F174" i="18"/>
  <c r="I156" i="15"/>
  <c r="I174" i="18"/>
  <c r="E156" i="15"/>
  <c r="E174" i="18"/>
  <c r="G156" i="15"/>
  <c r="G174" i="18"/>
  <c r="H156" i="15"/>
  <c r="H174" i="18"/>
  <c r="L106" i="18"/>
  <c r="L97" i="18"/>
  <c r="D74" i="13"/>
  <c r="D98" i="18"/>
  <c r="G64" i="13"/>
  <c r="G65" i="13" s="1"/>
  <c r="K106" i="18"/>
  <c r="K97" i="18"/>
  <c r="D106" i="18"/>
  <c r="D97" i="18"/>
  <c r="M74" i="13"/>
  <c r="M98" i="18"/>
  <c r="L74" i="13"/>
  <c r="L98" i="18"/>
  <c r="F74" i="13"/>
  <c r="F98" i="18"/>
  <c r="H74" i="13"/>
  <c r="H98" i="18"/>
  <c r="K154" i="14"/>
  <c r="K162" i="18" s="1"/>
  <c r="J164" i="14"/>
  <c r="J165" i="14" s="1"/>
  <c r="J166" i="14" s="1"/>
  <c r="J186" i="18" s="1"/>
  <c r="G164" i="14"/>
  <c r="G165" i="14" s="1"/>
  <c r="G166" i="14" s="1"/>
  <c r="G186" i="18" s="1"/>
  <c r="E154" i="14"/>
  <c r="E162" i="18" s="1"/>
  <c r="D164" i="14"/>
  <c r="D165" i="14" s="1"/>
  <c r="D166" i="14" s="1"/>
  <c r="D186" i="18" s="1"/>
  <c r="H164" i="14"/>
  <c r="H165" i="14" s="1"/>
  <c r="H166" i="14" s="1"/>
  <c r="H186" i="18" s="1"/>
  <c r="H28" i="17"/>
  <c r="H29" i="17" s="1"/>
  <c r="H30" i="17" s="1"/>
  <c r="H37" i="18" s="1"/>
  <c r="H259" i="18" s="1"/>
  <c r="H18" i="17"/>
  <c r="G28" i="17"/>
  <c r="G18" i="17"/>
  <c r="D28" i="17"/>
  <c r="D29" i="17" s="1"/>
  <c r="D30" i="17" s="1"/>
  <c r="D37" i="18" s="1"/>
  <c r="D259" i="18" s="1"/>
  <c r="D18" i="17"/>
  <c r="E64" i="13"/>
  <c r="E65" i="13" s="1"/>
  <c r="I28" i="17"/>
  <c r="I29" i="17" s="1"/>
  <c r="I30" i="17" s="1"/>
  <c r="I37" i="18" s="1"/>
  <c r="I259" i="18" s="1"/>
  <c r="I18" i="17"/>
  <c r="E28" i="17"/>
  <c r="E29" i="17" s="1"/>
  <c r="E30" i="17" s="1"/>
  <c r="E37" i="18" s="1"/>
  <c r="E259" i="18" s="1"/>
  <c r="E18" i="17"/>
  <c r="E108" i="12"/>
  <c r="E109" i="12" s="1"/>
  <c r="E111" i="12" s="1"/>
  <c r="G108" i="12"/>
  <c r="G109" i="12" s="1"/>
  <c r="G111" i="12" s="1"/>
  <c r="K28" i="17"/>
  <c r="K18" i="17"/>
  <c r="F28" i="17"/>
  <c r="F18" i="17"/>
  <c r="J28" i="17"/>
  <c r="J29" i="17" s="1"/>
  <c r="J30" i="17" s="1"/>
  <c r="J37" i="18" s="1"/>
  <c r="J259" i="18" s="1"/>
  <c r="J18" i="17"/>
  <c r="J108" i="12"/>
  <c r="J109" i="12" s="1"/>
  <c r="J111" i="12" s="1"/>
  <c r="J64" i="13"/>
  <c r="J65" i="13" s="1"/>
  <c r="L28" i="17"/>
  <c r="L29" i="17" s="1"/>
  <c r="L30" i="17" s="1"/>
  <c r="L37" i="18" s="1"/>
  <c r="L259" i="18" s="1"/>
  <c r="L18" i="17"/>
  <c r="M28" i="17"/>
  <c r="M29" i="17" s="1"/>
  <c r="M30" i="17" s="1"/>
  <c r="M37" i="18" s="1"/>
  <c r="M259" i="18" s="1"/>
  <c r="M18" i="17"/>
  <c r="L156" i="15"/>
  <c r="I22" i="15"/>
  <c r="I30" i="15" s="1"/>
  <c r="I31" i="15" s="1"/>
  <c r="I32" i="15" s="1"/>
  <c r="I34" i="15" s="1"/>
  <c r="D81" i="15"/>
  <c r="D82" i="15" s="1"/>
  <c r="D84" i="15" s="1"/>
  <c r="D88" i="15" s="1"/>
  <c r="D92" i="15" s="1"/>
  <c r="D89" i="18" s="1"/>
  <c r="M22" i="15"/>
  <c r="N22" i="15"/>
  <c r="E22" i="15"/>
  <c r="L25" i="14"/>
  <c r="I108" i="12"/>
  <c r="I109" i="12" s="1"/>
  <c r="I111" i="12" s="1"/>
  <c r="H108" i="12"/>
  <c r="H109" i="12" s="1"/>
  <c r="H111" i="12" s="1"/>
  <c r="H83" i="14"/>
  <c r="H84" i="14" s="1"/>
  <c r="K22" i="15"/>
  <c r="F83" i="14"/>
  <c r="F84" i="14" s="1"/>
  <c r="G186" i="16"/>
  <c r="F198" i="16" s="1"/>
  <c r="D186" i="16"/>
  <c r="D188" i="16" s="1"/>
  <c r="D164" i="18" s="1"/>
  <c r="M202" i="16"/>
  <c r="J186" i="16"/>
  <c r="I198" i="16" s="1"/>
  <c r="E199" i="16"/>
  <c r="E200" i="16" s="1"/>
  <c r="E188" i="18" s="1"/>
  <c r="F188" i="16"/>
  <c r="F164" i="18" s="1"/>
  <c r="E188" i="16"/>
  <c r="E164" i="18" s="1"/>
  <c r="D199" i="16"/>
  <c r="D200" i="16" s="1"/>
  <c r="D188" i="18" s="1"/>
  <c r="J199" i="16"/>
  <c r="J200" i="16" s="1"/>
  <c r="J188" i="18" s="1"/>
  <c r="K188" i="16"/>
  <c r="I188" i="16"/>
  <c r="I164" i="18" s="1"/>
  <c r="H199" i="16"/>
  <c r="H200" i="16" s="1"/>
  <c r="H188" i="18" s="1"/>
  <c r="H188" i="16"/>
  <c r="H164" i="18" s="1"/>
  <c r="G199" i="16"/>
  <c r="G200" i="16" s="1"/>
  <c r="G188" i="18" s="1"/>
  <c r="F22" i="15"/>
  <c r="M156" i="15"/>
  <c r="M30" i="15"/>
  <c r="F27" i="15"/>
  <c r="E102" i="15"/>
  <c r="E103" i="15" s="1"/>
  <c r="E104" i="15" s="1"/>
  <c r="E113" i="18" s="1"/>
  <c r="H27" i="15"/>
  <c r="H30" i="15" s="1"/>
  <c r="K27" i="15"/>
  <c r="D27" i="15"/>
  <c r="D30" i="15" s="1"/>
  <c r="K84" i="14"/>
  <c r="K87" i="14"/>
  <c r="K90" i="14" s="1"/>
  <c r="I12" i="15"/>
  <c r="I40" i="15"/>
  <c r="I36" i="15"/>
  <c r="N25" i="14"/>
  <c r="N81" i="15"/>
  <c r="N82" i="15" s="1"/>
  <c r="N84" i="15" s="1"/>
  <c r="N88" i="15" s="1"/>
  <c r="M102" i="15" s="1"/>
  <c r="M103" i="15" s="1"/>
  <c r="M104" i="15" s="1"/>
  <c r="M113" i="18" s="1"/>
  <c r="L40" i="15"/>
  <c r="L12" i="15"/>
  <c r="L36" i="15"/>
  <c r="L12" i="14"/>
  <c r="L44" i="14"/>
  <c r="L40" i="14"/>
  <c r="L28" i="14" s="1"/>
  <c r="N36" i="15"/>
  <c r="N12" i="15"/>
  <c r="N87" i="14"/>
  <c r="E30" i="15"/>
  <c r="G40" i="15"/>
  <c r="G36" i="15"/>
  <c r="G12" i="15"/>
  <c r="J27" i="15"/>
  <c r="J154" i="14"/>
  <c r="J162" i="18" s="1"/>
  <c r="I164" i="14"/>
  <c r="I165" i="14" s="1"/>
  <c r="I166" i="14" s="1"/>
  <c r="I186" i="18" s="1"/>
  <c r="L84" i="14"/>
  <c r="L87" i="14"/>
  <c r="L90" i="14" s="1"/>
  <c r="I25" i="14"/>
  <c r="F108" i="12"/>
  <c r="F109" i="12" s="1"/>
  <c r="F111" i="12" s="1"/>
  <c r="M108" i="12"/>
  <c r="M109" i="12" s="1"/>
  <c r="M111" i="12" s="1"/>
  <c r="K36" i="15"/>
  <c r="K40" i="15"/>
  <c r="K12" i="15"/>
  <c r="D84" i="14"/>
  <c r="D87" i="14"/>
  <c r="D90" i="14" s="1"/>
  <c r="G154" i="14"/>
  <c r="G162" i="18" s="1"/>
  <c r="F164" i="14"/>
  <c r="D31" i="15"/>
  <c r="D32" i="15" s="1"/>
  <c r="D34" i="15" s="1"/>
  <c r="L27" i="15"/>
  <c r="M12" i="14"/>
  <c r="M44" i="14"/>
  <c r="M40" i="14"/>
  <c r="M28" i="14" s="1"/>
  <c r="N27" i="15"/>
  <c r="D12" i="14"/>
  <c r="D44" i="14"/>
  <c r="D40" i="14"/>
  <c r="D28" i="14" s="1"/>
  <c r="J22" i="15"/>
  <c r="G83" i="14"/>
  <c r="G92" i="15"/>
  <c r="G89" i="18" s="1"/>
  <c r="F102" i="15"/>
  <c r="F103" i="15" s="1"/>
  <c r="F104" i="15" s="1"/>
  <c r="F113" i="18" s="1"/>
  <c r="F36" i="15"/>
  <c r="F40" i="15"/>
  <c r="F12" i="15"/>
  <c r="G44" i="14"/>
  <c r="G12" i="14"/>
  <c r="G40" i="14"/>
  <c r="G28" i="14" s="1"/>
  <c r="M84" i="14"/>
  <c r="M87" i="14"/>
  <c r="M90" i="14" s="1"/>
  <c r="F12" i="14"/>
  <c r="F44" i="14"/>
  <c r="F40" i="14"/>
  <c r="F28" i="14" s="1"/>
  <c r="H12" i="15"/>
  <c r="H40" i="15"/>
  <c r="H36" i="15"/>
  <c r="K25" i="14"/>
  <c r="J84" i="14"/>
  <c r="J87" i="14"/>
  <c r="J90" i="14" s="1"/>
  <c r="D36" i="15"/>
  <c r="D40" i="15"/>
  <c r="D12" i="15"/>
  <c r="E40" i="14"/>
  <c r="E28" i="14" s="1"/>
  <c r="E44" i="14"/>
  <c r="E12" i="14"/>
  <c r="L22" i="15"/>
  <c r="M31" i="15" s="1"/>
  <c r="M32" i="15" s="1"/>
  <c r="M34" i="15" s="1"/>
  <c r="M25" i="14"/>
  <c r="K98" i="15"/>
  <c r="K99" i="15" s="1"/>
  <c r="M98" i="15"/>
  <c r="M99" i="15" s="1"/>
  <c r="M100" i="18" s="1"/>
  <c r="E98" i="15"/>
  <c r="E99" i="15" s="1"/>
  <c r="E100" i="18" s="1"/>
  <c r="G22" i="15"/>
  <c r="E84" i="14"/>
  <c r="E87" i="14"/>
  <c r="E90" i="14" s="1"/>
  <c r="N83" i="14"/>
  <c r="N88" i="14" s="1"/>
  <c r="N89" i="14" s="1"/>
  <c r="N90" i="14" s="1"/>
  <c r="H44" i="14"/>
  <c r="H40" i="14"/>
  <c r="H28" i="14" s="1"/>
  <c r="H12" i="14"/>
  <c r="K12" i="14"/>
  <c r="K40" i="14"/>
  <c r="K28" i="14" s="1"/>
  <c r="K44" i="14"/>
  <c r="N40" i="14"/>
  <c r="N28" i="14" s="1"/>
  <c r="N12" i="14"/>
  <c r="J92" i="15"/>
  <c r="J89" i="18" s="1"/>
  <c r="I102" i="15"/>
  <c r="I103" i="15" s="1"/>
  <c r="I104" i="15" s="1"/>
  <c r="I113" i="18" s="1"/>
  <c r="I84" i="14"/>
  <c r="I87" i="14"/>
  <c r="I90" i="14" s="1"/>
  <c r="H98" i="15"/>
  <c r="H99" i="15" s="1"/>
  <c r="H100" i="18" s="1"/>
  <c r="E40" i="15"/>
  <c r="E36" i="15"/>
  <c r="E12" i="15"/>
  <c r="G27" i="15"/>
  <c r="J12" i="15"/>
  <c r="J40" i="15"/>
  <c r="J36" i="15"/>
  <c r="J40" i="14"/>
  <c r="J28" i="14" s="1"/>
  <c r="J44" i="14"/>
  <c r="J12" i="14"/>
  <c r="M36" i="15"/>
  <c r="M40" i="15"/>
  <c r="M12" i="15"/>
  <c r="H92" i="15"/>
  <c r="H89" i="18" s="1"/>
  <c r="G102" i="15"/>
  <c r="G103" i="15" s="1"/>
  <c r="G104" i="15" s="1"/>
  <c r="G113" i="18" s="1"/>
  <c r="C157" i="15"/>
  <c r="I40" i="14"/>
  <c r="I28" i="14" s="1"/>
  <c r="I12" i="14"/>
  <c r="I44" i="14"/>
  <c r="M174" i="12"/>
  <c r="J170" i="12"/>
  <c r="J171" i="12" s="1"/>
  <c r="J172" i="12" s="1"/>
  <c r="J183" i="18" s="1"/>
  <c r="D37" i="13"/>
  <c r="E37" i="13"/>
  <c r="E38" i="13" s="1"/>
  <c r="E36" i="18" s="1"/>
  <c r="E54" i="18" s="1"/>
  <c r="G37" i="13"/>
  <c r="G38" i="13" s="1"/>
  <c r="G36" i="18" s="1"/>
  <c r="H37" i="13"/>
  <c r="I37" i="13"/>
  <c r="J37" i="13"/>
  <c r="K37" i="13"/>
  <c r="K38" i="13" s="1"/>
  <c r="K36" i="18" s="1"/>
  <c r="L37" i="13"/>
  <c r="M37" i="13"/>
  <c r="H170" i="12"/>
  <c r="H171" i="12" s="1"/>
  <c r="H172" i="12" s="1"/>
  <c r="L170" i="12"/>
  <c r="L171" i="12" s="1"/>
  <c r="L172" i="12" s="1"/>
  <c r="L183" i="18" s="1"/>
  <c r="E170" i="12"/>
  <c r="E171" i="12" s="1"/>
  <c r="E172" i="12" s="1"/>
  <c r="E183" i="18" s="1"/>
  <c r="E190" i="18" s="1"/>
  <c r="K170" i="12"/>
  <c r="K171" i="12" s="1"/>
  <c r="K172" i="12" s="1"/>
  <c r="L158" i="12"/>
  <c r="L161" i="18" s="1"/>
  <c r="L166" i="18" s="1"/>
  <c r="G30" i="12"/>
  <c r="G33" i="12"/>
  <c r="L33" i="12"/>
  <c r="L30" i="12"/>
  <c r="E33" i="12"/>
  <c r="E30" i="12"/>
  <c r="G158" i="12"/>
  <c r="F170" i="12"/>
  <c r="F171" i="12" s="1"/>
  <c r="F172" i="12" s="1"/>
  <c r="I170" i="12"/>
  <c r="I171" i="12" s="1"/>
  <c r="I172" i="12" s="1"/>
  <c r="J158" i="12"/>
  <c r="J161" i="18" s="1"/>
  <c r="K30" i="12"/>
  <c r="K33" i="12"/>
  <c r="J30" i="12"/>
  <c r="J33" i="12"/>
  <c r="F30" i="12"/>
  <c r="F33" i="12"/>
  <c r="D170" i="12"/>
  <c r="D171" i="12" s="1"/>
  <c r="D172" i="12" s="1"/>
  <c r="E158" i="12"/>
  <c r="E161" i="18" s="1"/>
  <c r="D33" i="12"/>
  <c r="D30" i="12"/>
  <c r="N33" i="12"/>
  <c r="N30" i="12"/>
  <c r="H33" i="12"/>
  <c r="H30" i="12"/>
  <c r="M30" i="12"/>
  <c r="M33" i="12"/>
  <c r="I30" i="12"/>
  <c r="I33" i="12"/>
  <c r="L114" i="12"/>
  <c r="L115" i="12" s="1"/>
  <c r="L116" i="12" s="1"/>
  <c r="L109" i="18" s="1"/>
  <c r="K114" i="12"/>
  <c r="K115" i="12" s="1"/>
  <c r="K116" i="12" s="1"/>
  <c r="L102" i="12"/>
  <c r="L87" i="18" s="1"/>
  <c r="J190" i="18" l="1"/>
  <c r="D250" i="18"/>
  <c r="P27" i="18"/>
  <c r="I46" i="16"/>
  <c r="M52" i="16"/>
  <c r="G46" i="16"/>
  <c r="D46" i="16"/>
  <c r="F123" i="16"/>
  <c r="E133" i="16"/>
  <c r="E134" i="16" s="1"/>
  <c r="E135" i="16" s="1"/>
  <c r="H46" i="16"/>
  <c r="H50" i="16"/>
  <c r="H52" i="16" s="1"/>
  <c r="H56" i="16" s="1"/>
  <c r="G137" i="16"/>
  <c r="I52" i="16"/>
  <c r="N46" i="16"/>
  <c r="N56" i="16" s="1"/>
  <c r="M68" i="16" s="1"/>
  <c r="M69" i="16" s="1"/>
  <c r="M70" i="16" s="1"/>
  <c r="M40" i="18" s="1"/>
  <c r="M262" i="18" s="1"/>
  <c r="G52" i="16"/>
  <c r="M123" i="16"/>
  <c r="L133" i="16"/>
  <c r="L134" i="16" s="1"/>
  <c r="L135" i="16" s="1"/>
  <c r="L114" i="18" s="1"/>
  <c r="F46" i="16"/>
  <c r="F56" i="16" s="1"/>
  <c r="D52" i="16"/>
  <c r="K46" i="16"/>
  <c r="K56" i="16" s="1"/>
  <c r="L58" i="16"/>
  <c r="K68" i="16"/>
  <c r="K69" i="16" s="1"/>
  <c r="K70" i="16" s="1"/>
  <c r="K40" i="18" s="1"/>
  <c r="K262" i="18" s="1"/>
  <c r="E58" i="16"/>
  <c r="D68" i="16"/>
  <c r="D69" i="16" s="1"/>
  <c r="D70" i="16" s="1"/>
  <c r="D40" i="18" s="1"/>
  <c r="D262" i="18" s="1"/>
  <c r="L90" i="18"/>
  <c r="L137" i="16"/>
  <c r="J52" i="16"/>
  <c r="J56" i="16" s="1"/>
  <c r="D63" i="16"/>
  <c r="G63" i="16"/>
  <c r="I63" i="16"/>
  <c r="K62" i="16"/>
  <c r="K64" i="16" s="1"/>
  <c r="K65" i="16" s="1"/>
  <c r="K27" i="18" s="1"/>
  <c r="K249" i="18" s="1"/>
  <c r="M63" i="16"/>
  <c r="E63" i="16"/>
  <c r="F63" i="16"/>
  <c r="H63" i="16"/>
  <c r="J63" i="16"/>
  <c r="L62" i="16"/>
  <c r="E62" i="16"/>
  <c r="E64" i="16" s="1"/>
  <c r="E65" i="16" s="1"/>
  <c r="E27" i="18" s="1"/>
  <c r="E249" i="18" s="1"/>
  <c r="F62" i="16"/>
  <c r="F64" i="16" s="1"/>
  <c r="F65" i="16" s="1"/>
  <c r="F27" i="18" s="1"/>
  <c r="F249" i="18" s="1"/>
  <c r="H62" i="16"/>
  <c r="H64" i="16" s="1"/>
  <c r="H65" i="16" s="1"/>
  <c r="H27" i="18" s="1"/>
  <c r="H249" i="18" s="1"/>
  <c r="J62" i="16"/>
  <c r="J64" i="16" s="1"/>
  <c r="J65" i="16" s="1"/>
  <c r="J27" i="18" s="1"/>
  <c r="J249" i="18" s="1"/>
  <c r="L63" i="16"/>
  <c r="D62" i="16"/>
  <c r="D64" i="16" s="1"/>
  <c r="D65" i="16" s="1"/>
  <c r="D27" i="18" s="1"/>
  <c r="G62" i="16"/>
  <c r="G64" i="16" s="1"/>
  <c r="G65" i="16" s="1"/>
  <c r="G27" i="18" s="1"/>
  <c r="G249" i="18" s="1"/>
  <c r="I62" i="16"/>
  <c r="I64" i="16" s="1"/>
  <c r="I65" i="16" s="1"/>
  <c r="I27" i="18" s="1"/>
  <c r="I249" i="18" s="1"/>
  <c r="K63" i="16"/>
  <c r="M62" i="16"/>
  <c r="M64" i="16" s="1"/>
  <c r="M65" i="16" s="1"/>
  <c r="M27" i="18" s="1"/>
  <c r="M249" i="18" s="1"/>
  <c r="D90" i="18"/>
  <c r="D137" i="16"/>
  <c r="L64" i="16"/>
  <c r="L65" i="16"/>
  <c r="L27" i="18" s="1"/>
  <c r="L249" i="18" s="1"/>
  <c r="I90" i="18"/>
  <c r="I137" i="16"/>
  <c r="H90" i="18"/>
  <c r="H137" i="16"/>
  <c r="M46" i="16"/>
  <c r="M56" i="16" s="1"/>
  <c r="K123" i="16"/>
  <c r="J133" i="16"/>
  <c r="J134" i="16" s="1"/>
  <c r="J135" i="16" s="1"/>
  <c r="J114" i="18" s="1"/>
  <c r="J90" i="18"/>
  <c r="J137" i="16"/>
  <c r="K29" i="13"/>
  <c r="G29" i="13"/>
  <c r="M28" i="13"/>
  <c r="I28" i="13"/>
  <c r="E28" i="13"/>
  <c r="J29" i="13"/>
  <c r="F29" i="13"/>
  <c r="L28" i="13"/>
  <c r="H28" i="13"/>
  <c r="D28" i="13"/>
  <c r="M29" i="13"/>
  <c r="I29" i="13"/>
  <c r="E29" i="13"/>
  <c r="K28" i="13"/>
  <c r="G28" i="13"/>
  <c r="L29" i="13"/>
  <c r="H29" i="13"/>
  <c r="D29" i="13"/>
  <c r="J28" i="13"/>
  <c r="F28" i="13"/>
  <c r="K105" i="14"/>
  <c r="G105" i="14"/>
  <c r="M104" i="14"/>
  <c r="I104" i="14"/>
  <c r="E104" i="14"/>
  <c r="J105" i="14"/>
  <c r="F105" i="14"/>
  <c r="L104" i="14"/>
  <c r="H104" i="14"/>
  <c r="D104" i="14"/>
  <c r="M105" i="14"/>
  <c r="I105" i="14"/>
  <c r="E105" i="14"/>
  <c r="K104" i="14"/>
  <c r="G104" i="14"/>
  <c r="L105" i="14"/>
  <c r="H105" i="14"/>
  <c r="D105" i="14"/>
  <c r="J104" i="14"/>
  <c r="F104" i="14"/>
  <c r="L49" i="14"/>
  <c r="H49" i="14"/>
  <c r="D49" i="14"/>
  <c r="K49" i="14"/>
  <c r="G49" i="14"/>
  <c r="J49" i="14"/>
  <c r="F49" i="14"/>
  <c r="M49" i="14"/>
  <c r="I49" i="14"/>
  <c r="E49" i="14"/>
  <c r="M51" i="12"/>
  <c r="I51" i="12"/>
  <c r="E51" i="12"/>
  <c r="K50" i="12"/>
  <c r="G50" i="12"/>
  <c r="L51" i="12"/>
  <c r="H51" i="12"/>
  <c r="D51" i="12"/>
  <c r="J50" i="12"/>
  <c r="F50" i="12"/>
  <c r="K51" i="12"/>
  <c r="G51" i="12"/>
  <c r="M50" i="12"/>
  <c r="I50" i="12"/>
  <c r="E50" i="12"/>
  <c r="J51" i="12"/>
  <c r="F51" i="12"/>
  <c r="L50" i="12"/>
  <c r="H50" i="12"/>
  <c r="D50" i="12"/>
  <c r="K45" i="15"/>
  <c r="G45" i="15"/>
  <c r="J45" i="15"/>
  <c r="F45" i="15"/>
  <c r="M45" i="15"/>
  <c r="I45" i="15"/>
  <c r="E45" i="15"/>
  <c r="L45" i="15"/>
  <c r="H45" i="15"/>
  <c r="D45" i="15"/>
  <c r="F159" i="14"/>
  <c r="L158" i="14"/>
  <c r="H158" i="14"/>
  <c r="D158" i="14"/>
  <c r="E159" i="14"/>
  <c r="K158" i="14"/>
  <c r="G158" i="14"/>
  <c r="H159" i="14"/>
  <c r="D159" i="14"/>
  <c r="J158" i="14"/>
  <c r="F158" i="14"/>
  <c r="G159" i="14"/>
  <c r="M158" i="14"/>
  <c r="I158" i="14"/>
  <c r="E158" i="14"/>
  <c r="K159" i="14"/>
  <c r="J159" i="14"/>
  <c r="M159" i="14"/>
  <c r="I159" i="14"/>
  <c r="L159" i="14"/>
  <c r="E258" i="18"/>
  <c r="I38" i="15"/>
  <c r="K258" i="18"/>
  <c r="G258" i="18"/>
  <c r="K30" i="15"/>
  <c r="E166" i="18"/>
  <c r="L190" i="18"/>
  <c r="K202" i="16"/>
  <c r="K164" i="18"/>
  <c r="G190" i="18"/>
  <c r="F166" i="18"/>
  <c r="H166" i="18"/>
  <c r="I166" i="18"/>
  <c r="D166" i="18"/>
  <c r="F174" i="12"/>
  <c r="F183" i="18"/>
  <c r="K174" i="12"/>
  <c r="K183" i="18"/>
  <c r="K190" i="18" s="1"/>
  <c r="G174" i="12"/>
  <c r="G161" i="18"/>
  <c r="H174" i="12"/>
  <c r="H183" i="18"/>
  <c r="H190" i="18" s="1"/>
  <c r="K118" i="12"/>
  <c r="K109" i="18"/>
  <c r="D174" i="12"/>
  <c r="D183" i="18"/>
  <c r="D190" i="18" s="1"/>
  <c r="I174" i="12"/>
  <c r="I183" i="18"/>
  <c r="K106" i="15"/>
  <c r="K100" i="18"/>
  <c r="F106" i="18"/>
  <c r="F97" i="18"/>
  <c r="E74" i="13"/>
  <c r="E98" i="18"/>
  <c r="H97" i="18"/>
  <c r="I97" i="18"/>
  <c r="J74" i="13"/>
  <c r="J98" i="18"/>
  <c r="G97" i="18"/>
  <c r="M106" i="18"/>
  <c r="M97" i="18"/>
  <c r="J97" i="18"/>
  <c r="E97" i="18"/>
  <c r="G74" i="13"/>
  <c r="G98" i="18"/>
  <c r="D118" i="12"/>
  <c r="H88" i="14"/>
  <c r="H89" i="14" s="1"/>
  <c r="H90" i="14" s="1"/>
  <c r="H92" i="14" s="1"/>
  <c r="H96" i="14" s="1"/>
  <c r="F88" i="14"/>
  <c r="F89" i="14" s="1"/>
  <c r="E17" i="18"/>
  <c r="E239" i="18" s="1"/>
  <c r="D33" i="17"/>
  <c r="D34" i="17" s="1"/>
  <c r="D35" i="17" s="1"/>
  <c r="D41" i="18" s="1"/>
  <c r="D263" i="18" s="1"/>
  <c r="M17" i="18"/>
  <c r="L33" i="17"/>
  <c r="L34" i="17" s="1"/>
  <c r="L35" i="17" s="1"/>
  <c r="L41" i="18" s="1"/>
  <c r="L263" i="18" s="1"/>
  <c r="M37" i="17"/>
  <c r="M72" i="17" s="1"/>
  <c r="F17" i="18"/>
  <c r="F239" i="18" s="1"/>
  <c r="E33" i="17"/>
  <c r="E34" i="17" s="1"/>
  <c r="E35" i="17" s="1"/>
  <c r="G17" i="18"/>
  <c r="G239" i="18" s="1"/>
  <c r="F33" i="17"/>
  <c r="F34" i="17" s="1"/>
  <c r="F35" i="17" s="1"/>
  <c r="F41" i="18" s="1"/>
  <c r="F263" i="18" s="1"/>
  <c r="F118" i="12"/>
  <c r="F29" i="17"/>
  <c r="F30" i="17" s="1"/>
  <c r="F37" i="18" s="1"/>
  <c r="F259" i="18" s="1"/>
  <c r="D17" i="18"/>
  <c r="D239" i="18" s="1"/>
  <c r="D37" i="17"/>
  <c r="G29" i="17"/>
  <c r="G30" i="17" s="1"/>
  <c r="G37" i="18" s="1"/>
  <c r="G259" i="18" s="1"/>
  <c r="K29" i="17"/>
  <c r="K30" i="17" s="1"/>
  <c r="K37" i="18" s="1"/>
  <c r="K259" i="18" s="1"/>
  <c r="L17" i="18"/>
  <c r="L239" i="18" s="1"/>
  <c r="K33" i="17"/>
  <c r="K34" i="17" s="1"/>
  <c r="K35" i="17" s="1"/>
  <c r="K41" i="18" s="1"/>
  <c r="K263" i="18" s="1"/>
  <c r="L37" i="17"/>
  <c r="L72" i="17" s="1"/>
  <c r="J17" i="18"/>
  <c r="J239" i="18" s="1"/>
  <c r="I33" i="17"/>
  <c r="I34" i="17" s="1"/>
  <c r="I35" i="17" s="1"/>
  <c r="I41" i="18" s="1"/>
  <c r="I263" i="18" s="1"/>
  <c r="K17" i="18"/>
  <c r="J33" i="17"/>
  <c r="J34" i="17" s="1"/>
  <c r="J35" i="17" s="1"/>
  <c r="I17" i="18"/>
  <c r="H33" i="17"/>
  <c r="H34" i="17" s="1"/>
  <c r="H35" i="17" s="1"/>
  <c r="H17" i="18"/>
  <c r="H239" i="18" s="1"/>
  <c r="G33" i="17"/>
  <c r="G34" i="17" s="1"/>
  <c r="G35" i="17" s="1"/>
  <c r="G41" i="18" s="1"/>
  <c r="G263" i="18" s="1"/>
  <c r="G98" i="15"/>
  <c r="G99" i="15" s="1"/>
  <c r="G100" i="18" s="1"/>
  <c r="D38" i="15"/>
  <c r="D42" i="15" s="1"/>
  <c r="D15" i="18" s="1"/>
  <c r="D237" i="18" s="1"/>
  <c r="J92" i="14"/>
  <c r="J96" i="14" s="1"/>
  <c r="I110" i="14" s="1"/>
  <c r="I111" i="14" s="1"/>
  <c r="I112" i="14" s="1"/>
  <c r="I112" i="18" s="1"/>
  <c r="I116" i="18" s="1"/>
  <c r="E106" i="15"/>
  <c r="F30" i="15"/>
  <c r="F31" i="15" s="1"/>
  <c r="F32" i="15" s="1"/>
  <c r="F34" i="15" s="1"/>
  <c r="F38" i="15" s="1"/>
  <c r="E52" i="15" s="1"/>
  <c r="E53" i="15" s="1"/>
  <c r="E54" i="15" s="1"/>
  <c r="E39" i="18" s="1"/>
  <c r="E261" i="18" s="1"/>
  <c r="N30" i="15"/>
  <c r="L92" i="14"/>
  <c r="L96" i="14" s="1"/>
  <c r="L100" i="14" s="1"/>
  <c r="L88" i="18" s="1"/>
  <c r="L92" i="18" s="1"/>
  <c r="J38" i="13"/>
  <c r="J36" i="18" s="1"/>
  <c r="J54" i="18" s="1"/>
  <c r="D202" i="16"/>
  <c r="G188" i="16"/>
  <c r="F199" i="16"/>
  <c r="F200" i="16" s="1"/>
  <c r="H202" i="16"/>
  <c r="I199" i="16"/>
  <c r="I200" i="16" s="1"/>
  <c r="J188" i="16"/>
  <c r="E202" i="16"/>
  <c r="H31" i="15"/>
  <c r="H32" i="15" s="1"/>
  <c r="H34" i="15" s="1"/>
  <c r="H38" i="15" s="1"/>
  <c r="L98" i="15"/>
  <c r="L99" i="15" s="1"/>
  <c r="M38" i="15"/>
  <c r="L52" i="15" s="1"/>
  <c r="L53" i="15" s="1"/>
  <c r="L54" i="15" s="1"/>
  <c r="L39" i="18" s="1"/>
  <c r="L261" i="18" s="1"/>
  <c r="D98" i="15"/>
  <c r="D99" i="15" s="1"/>
  <c r="F98" i="15"/>
  <c r="F99" i="15" s="1"/>
  <c r="L30" i="15"/>
  <c r="L31" i="15" s="1"/>
  <c r="L32" i="15" s="1"/>
  <c r="L34" i="15" s="1"/>
  <c r="L38" i="15" s="1"/>
  <c r="L42" i="15" s="1"/>
  <c r="L15" i="18" s="1"/>
  <c r="L237" i="18" s="1"/>
  <c r="M106" i="15"/>
  <c r="G106" i="15"/>
  <c r="I98" i="15"/>
  <c r="I99" i="15" s="1"/>
  <c r="H52" i="15"/>
  <c r="H53" i="15" s="1"/>
  <c r="H54" i="15" s="1"/>
  <c r="H39" i="18" s="1"/>
  <c r="H261" i="18" s="1"/>
  <c r="I42" i="15"/>
  <c r="I15" i="18" s="1"/>
  <c r="P36" i="18" s="1"/>
  <c r="F42" i="15"/>
  <c r="F15" i="18" s="1"/>
  <c r="F237" i="18" s="1"/>
  <c r="H106" i="15"/>
  <c r="D160" i="14"/>
  <c r="D161" i="14" s="1"/>
  <c r="G160" i="14"/>
  <c r="G161" i="14" s="1"/>
  <c r="E160" i="14"/>
  <c r="E161" i="14" s="1"/>
  <c r="J160" i="14"/>
  <c r="J161" i="14" s="1"/>
  <c r="H160" i="14"/>
  <c r="H161" i="14" s="1"/>
  <c r="H29" i="14"/>
  <c r="H34" i="14" s="1"/>
  <c r="H35" i="14" s="1"/>
  <c r="E29" i="14"/>
  <c r="E34" i="14" s="1"/>
  <c r="E35" i="14" s="1"/>
  <c r="H100" i="14"/>
  <c r="H88" i="18" s="1"/>
  <c r="H92" i="18" s="1"/>
  <c r="G110" i="14"/>
  <c r="G111" i="14" s="1"/>
  <c r="G112" i="14" s="1"/>
  <c r="G112" i="18" s="1"/>
  <c r="G116" i="18" s="1"/>
  <c r="J100" i="14"/>
  <c r="J88" i="18" s="1"/>
  <c r="J92" i="18" s="1"/>
  <c r="G33" i="14"/>
  <c r="G84" i="14"/>
  <c r="G88" i="14"/>
  <c r="G89" i="14" s="1"/>
  <c r="G90" i="14" s="1"/>
  <c r="H106" i="14"/>
  <c r="H107" i="14" s="1"/>
  <c r="H99" i="18" s="1"/>
  <c r="L106" i="14"/>
  <c r="L107" i="14" s="1"/>
  <c r="L99" i="18" s="1"/>
  <c r="E31" i="15"/>
  <c r="E32" i="15" s="1"/>
  <c r="E34" i="15" s="1"/>
  <c r="E38" i="15" s="1"/>
  <c r="K31" i="15"/>
  <c r="K32" i="15" s="1"/>
  <c r="K34" i="15" s="1"/>
  <c r="K38" i="15" s="1"/>
  <c r="G30" i="15"/>
  <c r="M92" i="14"/>
  <c r="M96" i="14" s="1"/>
  <c r="D29" i="14"/>
  <c r="D34" i="14" s="1"/>
  <c r="D35" i="14" s="1"/>
  <c r="N31" i="15"/>
  <c r="N32" i="15" s="1"/>
  <c r="N34" i="15" s="1"/>
  <c r="N38" i="15" s="1"/>
  <c r="M52" i="15" s="1"/>
  <c r="M53" i="15" s="1"/>
  <c r="M54" i="15" s="1"/>
  <c r="M39" i="18" s="1"/>
  <c r="M261" i="18" s="1"/>
  <c r="D92" i="14"/>
  <c r="D96" i="14" s="1"/>
  <c r="D100" i="14" s="1"/>
  <c r="D88" i="18" s="1"/>
  <c r="N84" i="14"/>
  <c r="N92" i="14" s="1"/>
  <c r="N96" i="14" s="1"/>
  <c r="M110" i="14" s="1"/>
  <c r="M111" i="14" s="1"/>
  <c r="M112" i="14" s="1"/>
  <c r="M112" i="18" s="1"/>
  <c r="M116" i="18" s="1"/>
  <c r="L33" i="14"/>
  <c r="K29" i="14"/>
  <c r="K34" i="14" s="1"/>
  <c r="K35" i="14" s="1"/>
  <c r="J29" i="14"/>
  <c r="J34" i="14" s="1"/>
  <c r="J35" i="14" s="1"/>
  <c r="I92" i="14"/>
  <c r="I96" i="14" s="1"/>
  <c r="J106" i="14"/>
  <c r="J107" i="14" s="1"/>
  <c r="J99" i="18" s="1"/>
  <c r="F29" i="14"/>
  <c r="F34" i="14" s="1"/>
  <c r="F35" i="14" s="1"/>
  <c r="M29" i="14"/>
  <c r="M34" i="14" s="1"/>
  <c r="M35" i="14" s="1"/>
  <c r="F90" i="14"/>
  <c r="F92" i="14" s="1"/>
  <c r="F96" i="14" s="1"/>
  <c r="I160" i="14"/>
  <c r="I161" i="14" s="1"/>
  <c r="I29" i="14"/>
  <c r="I34" i="14" s="1"/>
  <c r="I35" i="14" s="1"/>
  <c r="N29" i="14"/>
  <c r="N34" i="14" s="1"/>
  <c r="N35" i="14" s="1"/>
  <c r="E92" i="14"/>
  <c r="E96" i="14" s="1"/>
  <c r="J98" i="15"/>
  <c r="J99" i="15" s="1"/>
  <c r="F165" i="14"/>
  <c r="F166" i="14" s="1"/>
  <c r="F186" i="18" s="1"/>
  <c r="K110" i="14"/>
  <c r="K111" i="14" s="1"/>
  <c r="K112" i="14" s="1"/>
  <c r="K112" i="18" s="1"/>
  <c r="J30" i="15"/>
  <c r="K92" i="14"/>
  <c r="K96" i="14" s="1"/>
  <c r="J174" i="12"/>
  <c r="E174" i="12"/>
  <c r="L38" i="13"/>
  <c r="L36" i="18" s="1"/>
  <c r="L54" i="18" s="1"/>
  <c r="L35" i="12"/>
  <c r="L36" i="12" s="1"/>
  <c r="L38" i="12" s="1"/>
  <c r="L40" i="12" s="1"/>
  <c r="L42" i="12" s="1"/>
  <c r="L46" i="12" s="1"/>
  <c r="L13" i="18" s="1"/>
  <c r="L235" i="18" s="1"/>
  <c r="L174" i="12"/>
  <c r="F37" i="13"/>
  <c r="F38" i="13" s="1"/>
  <c r="F36" i="18" s="1"/>
  <c r="F54" i="18" s="1"/>
  <c r="H38" i="13"/>
  <c r="H36" i="18" s="1"/>
  <c r="H54" i="18" s="1"/>
  <c r="D38" i="13"/>
  <c r="D36" i="18" s="1"/>
  <c r="I38" i="13"/>
  <c r="I36" i="18" s="1"/>
  <c r="I54" i="18" s="1"/>
  <c r="M38" i="13"/>
  <c r="M36" i="18" s="1"/>
  <c r="M54" i="18" s="1"/>
  <c r="G30" i="13"/>
  <c r="G31" i="13" s="1"/>
  <c r="L30" i="13"/>
  <c r="L31" i="13" s="1"/>
  <c r="L24" i="18" s="1"/>
  <c r="L246" i="18" s="1"/>
  <c r="J35" i="12"/>
  <c r="J36" i="12" s="1"/>
  <c r="J38" i="12" s="1"/>
  <c r="J40" i="12" s="1"/>
  <c r="J42" i="12" s="1"/>
  <c r="J46" i="12" s="1"/>
  <c r="J13" i="18" s="1"/>
  <c r="J235" i="18" s="1"/>
  <c r="I35" i="12"/>
  <c r="I36" i="12" s="1"/>
  <c r="I38" i="12" s="1"/>
  <c r="I40" i="12" s="1"/>
  <c r="I42" i="12" s="1"/>
  <c r="G35" i="12"/>
  <c r="G36" i="12" s="1"/>
  <c r="G38" i="12" s="1"/>
  <c r="G40" i="12" s="1"/>
  <c r="G42" i="12" s="1"/>
  <c r="K35" i="12"/>
  <c r="K36" i="12" s="1"/>
  <c r="K38" i="12" s="1"/>
  <c r="K40" i="12" s="1"/>
  <c r="K42" i="12" s="1"/>
  <c r="F35" i="12"/>
  <c r="F36" i="12" s="1"/>
  <c r="F38" i="12" s="1"/>
  <c r="F40" i="12" s="1"/>
  <c r="F42" i="12" s="1"/>
  <c r="M35" i="12"/>
  <c r="M36" i="12" s="1"/>
  <c r="M38" i="12" s="1"/>
  <c r="M40" i="12" s="1"/>
  <c r="M42" i="12" s="1"/>
  <c r="D35" i="12"/>
  <c r="D36" i="12" s="1"/>
  <c r="D38" i="12" s="1"/>
  <c r="D40" i="12" s="1"/>
  <c r="D42" i="12" s="1"/>
  <c r="D46" i="12" s="1"/>
  <c r="D13" i="18" s="1"/>
  <c r="D235" i="18" s="1"/>
  <c r="E35" i="12"/>
  <c r="E36" i="12" s="1"/>
  <c r="E38" i="12" s="1"/>
  <c r="E40" i="12" s="1"/>
  <c r="E42" i="12" s="1"/>
  <c r="H35" i="12"/>
  <c r="H36" i="12" s="1"/>
  <c r="H38" i="12" s="1"/>
  <c r="H40" i="12" s="1"/>
  <c r="H42" i="12" s="1"/>
  <c r="N35" i="12"/>
  <c r="N36" i="12" s="1"/>
  <c r="N38" i="12" s="1"/>
  <c r="N40" i="12" s="1"/>
  <c r="N42" i="12" s="1"/>
  <c r="M58" i="12" s="1"/>
  <c r="M59" i="12" s="1"/>
  <c r="M60" i="12" s="1"/>
  <c r="M35" i="18" s="1"/>
  <c r="M257" i="18" s="1"/>
  <c r="L118" i="12"/>
  <c r="D92" i="18" l="1"/>
  <c r="P96" i="18"/>
  <c r="P97" i="18"/>
  <c r="P26" i="18"/>
  <c r="D249" i="18"/>
  <c r="J58" i="16"/>
  <c r="I68" i="16"/>
  <c r="I69" i="16" s="1"/>
  <c r="I70" i="16" s="1"/>
  <c r="I40" i="18" s="1"/>
  <c r="F58" i="16"/>
  <c r="E68" i="16"/>
  <c r="E69" i="16" s="1"/>
  <c r="E70" i="16" s="1"/>
  <c r="E40" i="18" s="1"/>
  <c r="H58" i="16"/>
  <c r="G68" i="16"/>
  <c r="G69" i="16" s="1"/>
  <c r="G70" i="16" s="1"/>
  <c r="G40" i="18" s="1"/>
  <c r="G262" i="18" s="1"/>
  <c r="D56" i="16"/>
  <c r="D58" i="16" s="1"/>
  <c r="I56" i="16"/>
  <c r="E16" i="18"/>
  <c r="E238" i="18" s="1"/>
  <c r="K58" i="16"/>
  <c r="J68" i="16"/>
  <c r="J69" i="16" s="1"/>
  <c r="J70" i="16" s="1"/>
  <c r="J40" i="18" s="1"/>
  <c r="J262" i="18" s="1"/>
  <c r="G56" i="16"/>
  <c r="K90" i="18"/>
  <c r="K137" i="16"/>
  <c r="M90" i="18"/>
  <c r="M137" i="16"/>
  <c r="E114" i="18"/>
  <c r="E137" i="16"/>
  <c r="M58" i="16"/>
  <c r="L68" i="16"/>
  <c r="L69" i="16" s="1"/>
  <c r="L70" i="16" s="1"/>
  <c r="L40" i="18" s="1"/>
  <c r="L262" i="18" s="1"/>
  <c r="L16" i="18"/>
  <c r="L238" i="18" s="1"/>
  <c r="F90" i="18"/>
  <c r="F137" i="16"/>
  <c r="D54" i="18"/>
  <c r="P17" i="18"/>
  <c r="I239" i="18"/>
  <c r="P38" i="18"/>
  <c r="K54" i="18"/>
  <c r="G54" i="18"/>
  <c r="L51" i="14"/>
  <c r="H51" i="14"/>
  <c r="D51" i="14"/>
  <c r="J50" i="14"/>
  <c r="F50" i="14"/>
  <c r="K51" i="14"/>
  <c r="G51" i="14"/>
  <c r="M50" i="14"/>
  <c r="I50" i="14"/>
  <c r="E50" i="14"/>
  <c r="J51" i="14"/>
  <c r="F51" i="14"/>
  <c r="L50" i="14"/>
  <c r="H50" i="14"/>
  <c r="D50" i="14"/>
  <c r="M51" i="14"/>
  <c r="I51" i="14"/>
  <c r="E51" i="14"/>
  <c r="K50" i="14"/>
  <c r="G50" i="14"/>
  <c r="I37" i="17"/>
  <c r="I72" i="17" s="1"/>
  <c r="K47" i="15"/>
  <c r="G47" i="15"/>
  <c r="M46" i="15"/>
  <c r="I46" i="15"/>
  <c r="E46" i="15"/>
  <c r="J47" i="15"/>
  <c r="F47" i="15"/>
  <c r="L46" i="15"/>
  <c r="H46" i="15"/>
  <c r="D46" i="15"/>
  <c r="M47" i="15"/>
  <c r="I47" i="15"/>
  <c r="E47" i="15"/>
  <c r="K46" i="15"/>
  <c r="G46" i="15"/>
  <c r="L47" i="15"/>
  <c r="H47" i="15"/>
  <c r="D47" i="15"/>
  <c r="J46" i="15"/>
  <c r="F46" i="15"/>
  <c r="D258" i="18"/>
  <c r="J258" i="18"/>
  <c r="H258" i="18"/>
  <c r="L258" i="18"/>
  <c r="M258" i="18"/>
  <c r="F258" i="18"/>
  <c r="K239" i="18"/>
  <c r="I258" i="18"/>
  <c r="I237" i="18"/>
  <c r="M239" i="18"/>
  <c r="J37" i="17"/>
  <c r="J72" i="17" s="1"/>
  <c r="J41" i="18"/>
  <c r="J263" i="18" s="1"/>
  <c r="G37" i="17"/>
  <c r="G72" i="17" s="1"/>
  <c r="H37" i="17"/>
  <c r="H72" i="17" s="1"/>
  <c r="H41" i="18"/>
  <c r="H263" i="18" s="1"/>
  <c r="K37" i="17"/>
  <c r="K72" i="17" s="1"/>
  <c r="F37" i="17"/>
  <c r="F72" i="17" s="1"/>
  <c r="E37" i="17"/>
  <c r="E72" i="17" s="1"/>
  <c r="E41" i="18"/>
  <c r="E263" i="18" s="1"/>
  <c r="I202" i="16"/>
  <c r="I188" i="18"/>
  <c r="I262" i="18" s="1"/>
  <c r="F202" i="16"/>
  <c r="F188" i="18"/>
  <c r="J202" i="16"/>
  <c r="J164" i="18"/>
  <c r="G202" i="16"/>
  <c r="G164" i="18"/>
  <c r="K166" i="18"/>
  <c r="K116" i="18"/>
  <c r="I106" i="15"/>
  <c r="I100" i="18"/>
  <c r="F106" i="15"/>
  <c r="F100" i="18"/>
  <c r="D106" i="15"/>
  <c r="D100" i="18"/>
  <c r="J106" i="15"/>
  <c r="J100" i="18"/>
  <c r="J104" i="18" s="1"/>
  <c r="L106" i="15"/>
  <c r="L100" i="18"/>
  <c r="L104" i="18" s="1"/>
  <c r="H104" i="18"/>
  <c r="J168" i="14"/>
  <c r="J173" i="18"/>
  <c r="J178" i="18" s="1"/>
  <c r="G168" i="14"/>
  <c r="G173" i="18"/>
  <c r="G178" i="18" s="1"/>
  <c r="D168" i="14"/>
  <c r="D173" i="18"/>
  <c r="D178" i="18" s="1"/>
  <c r="D192" i="18" s="1"/>
  <c r="F160" i="14"/>
  <c r="F161" i="14" s="1"/>
  <c r="F173" i="18" s="1"/>
  <c r="F178" i="18" s="1"/>
  <c r="I168" i="14"/>
  <c r="I173" i="18"/>
  <c r="I178" i="18" s="1"/>
  <c r="H168" i="14"/>
  <c r="H173" i="18"/>
  <c r="H178" i="18" s="1"/>
  <c r="H192" i="18" s="1"/>
  <c r="E168" i="14"/>
  <c r="E173" i="18"/>
  <c r="E178" i="18" s="1"/>
  <c r="E192" i="18" s="1"/>
  <c r="G40" i="13"/>
  <c r="G112" i="13" s="1"/>
  <c r="G24" i="18"/>
  <c r="G246" i="18" s="1"/>
  <c r="E106" i="18"/>
  <c r="E118" i="12"/>
  <c r="C75" i="13"/>
  <c r="J106" i="18"/>
  <c r="J118" i="12"/>
  <c r="H106" i="18"/>
  <c r="H118" i="12"/>
  <c r="G106" i="18"/>
  <c r="G118" i="12"/>
  <c r="I106" i="18"/>
  <c r="I118" i="12"/>
  <c r="M118" i="12"/>
  <c r="G106" i="14"/>
  <c r="G107" i="14" s="1"/>
  <c r="G99" i="18" s="1"/>
  <c r="G104" i="18" s="1"/>
  <c r="F106" i="14"/>
  <c r="F107" i="14" s="1"/>
  <c r="F99" i="18" s="1"/>
  <c r="F104" i="18" s="1"/>
  <c r="M160" i="14"/>
  <c r="M161" i="14" s="1"/>
  <c r="K106" i="14"/>
  <c r="K107" i="14" s="1"/>
  <c r="K99" i="18" s="1"/>
  <c r="K104" i="18" s="1"/>
  <c r="M106" i="14"/>
  <c r="M107" i="14" s="1"/>
  <c r="M99" i="18" s="1"/>
  <c r="M104" i="18" s="1"/>
  <c r="L160" i="14"/>
  <c r="L161" i="14" s="1"/>
  <c r="I58" i="12"/>
  <c r="I59" i="12" s="1"/>
  <c r="I60" i="12" s="1"/>
  <c r="I35" i="18" s="1"/>
  <c r="I257" i="18" s="1"/>
  <c r="F30" i="13"/>
  <c r="F31" i="13" s="1"/>
  <c r="F24" i="18" s="1"/>
  <c r="F246" i="18" s="1"/>
  <c r="D72" i="17"/>
  <c r="C73" i="17" s="1"/>
  <c r="C38" i="17"/>
  <c r="M52" i="12"/>
  <c r="M53" i="12" s="1"/>
  <c r="M55" i="12" s="1"/>
  <c r="K52" i="15"/>
  <c r="K53" i="15" s="1"/>
  <c r="K54" i="15" s="1"/>
  <c r="K39" i="18" s="1"/>
  <c r="K261" i="18" s="1"/>
  <c r="M42" i="15"/>
  <c r="M15" i="18" s="1"/>
  <c r="M237" i="18" s="1"/>
  <c r="G92" i="14"/>
  <c r="G96" i="14" s="1"/>
  <c r="F110" i="14" s="1"/>
  <c r="F111" i="14" s="1"/>
  <c r="F112" i="14" s="1"/>
  <c r="F112" i="18" s="1"/>
  <c r="F116" i="18" s="1"/>
  <c r="E106" i="14"/>
  <c r="E107" i="14" s="1"/>
  <c r="E99" i="18" s="1"/>
  <c r="E104" i="18" s="1"/>
  <c r="G29" i="14"/>
  <c r="G34" i="14" s="1"/>
  <c r="G35" i="14" s="1"/>
  <c r="K160" i="14"/>
  <c r="K161" i="14" s="1"/>
  <c r="C203" i="16"/>
  <c r="G52" i="15"/>
  <c r="G53" i="15" s="1"/>
  <c r="G54" i="15" s="1"/>
  <c r="G39" i="18" s="1"/>
  <c r="G261" i="18" s="1"/>
  <c r="H42" i="15"/>
  <c r="H15" i="18" s="1"/>
  <c r="H237" i="18" s="1"/>
  <c r="C107" i="15"/>
  <c r="L29" i="14"/>
  <c r="G31" i="15"/>
  <c r="G32" i="15" s="1"/>
  <c r="G34" i="15" s="1"/>
  <c r="G38" i="15" s="1"/>
  <c r="D52" i="15"/>
  <c r="D53" i="15" s="1"/>
  <c r="D54" i="15" s="1"/>
  <c r="D39" i="18" s="1"/>
  <c r="D261" i="18" s="1"/>
  <c r="E42" i="15"/>
  <c r="E15" i="18" s="1"/>
  <c r="E237" i="18" s="1"/>
  <c r="N30" i="14"/>
  <c r="N33" i="14"/>
  <c r="N36" i="14" s="1"/>
  <c r="F100" i="14"/>
  <c r="F88" i="18" s="1"/>
  <c r="F92" i="18" s="1"/>
  <c r="E110" i="14"/>
  <c r="E111" i="14" s="1"/>
  <c r="E112" i="14" s="1"/>
  <c r="E112" i="18" s="1"/>
  <c r="E116" i="18" s="1"/>
  <c r="F33" i="14"/>
  <c r="F36" i="14" s="1"/>
  <c r="F30" i="14"/>
  <c r="J48" i="15"/>
  <c r="J49" i="15" s="1"/>
  <c r="J26" i="18" s="1"/>
  <c r="H48" i="15"/>
  <c r="H49" i="15" s="1"/>
  <c r="G30" i="14"/>
  <c r="H33" i="14"/>
  <c r="H36" i="14" s="1"/>
  <c r="H30" i="14"/>
  <c r="K100" i="14"/>
  <c r="J110" i="14"/>
  <c r="J111" i="14" s="1"/>
  <c r="J112" i="14" s="1"/>
  <c r="J31" i="15"/>
  <c r="J32" i="15" s="1"/>
  <c r="J34" i="15" s="1"/>
  <c r="J38" i="15" s="1"/>
  <c r="M30" i="14"/>
  <c r="M33" i="14"/>
  <c r="M36" i="14" s="1"/>
  <c r="F168" i="14"/>
  <c r="K30" i="14"/>
  <c r="K33" i="14"/>
  <c r="K36" i="14" s="1"/>
  <c r="D33" i="14"/>
  <c r="D36" i="14" s="1"/>
  <c r="D30" i="14"/>
  <c r="K48" i="15"/>
  <c r="K49" i="15" s="1"/>
  <c r="K26" i="18" s="1"/>
  <c r="K248" i="18" s="1"/>
  <c r="J52" i="15"/>
  <c r="J53" i="15" s="1"/>
  <c r="J54" i="15" s="1"/>
  <c r="J39" i="18" s="1"/>
  <c r="J261" i="18" s="1"/>
  <c r="K42" i="15"/>
  <c r="K15" i="18" s="1"/>
  <c r="I106" i="14"/>
  <c r="I107" i="14" s="1"/>
  <c r="I99" i="18" s="1"/>
  <c r="I104" i="18" s="1"/>
  <c r="H52" i="14"/>
  <c r="H53" i="14" s="1"/>
  <c r="H25" i="18" s="1"/>
  <c r="I52" i="14"/>
  <c r="I53" i="14" s="1"/>
  <c r="I25" i="18" s="1"/>
  <c r="D110" i="14"/>
  <c r="D111" i="14" s="1"/>
  <c r="D112" i="14" s="1"/>
  <c r="D112" i="18" s="1"/>
  <c r="D116" i="18" s="1"/>
  <c r="E100" i="14"/>
  <c r="E88" i="18" s="1"/>
  <c r="E92" i="18" s="1"/>
  <c r="I30" i="14"/>
  <c r="I33" i="14"/>
  <c r="I36" i="14" s="1"/>
  <c r="I100" i="14"/>
  <c r="I88" i="18" s="1"/>
  <c r="H110" i="14"/>
  <c r="H111" i="14" s="1"/>
  <c r="H112" i="14" s="1"/>
  <c r="J33" i="14"/>
  <c r="J36" i="14" s="1"/>
  <c r="J30" i="14"/>
  <c r="M100" i="14"/>
  <c r="M88" i="18" s="1"/>
  <c r="M92" i="18" s="1"/>
  <c r="L110" i="14"/>
  <c r="L111" i="14" s="1"/>
  <c r="L112" i="14" s="1"/>
  <c r="M48" i="15"/>
  <c r="M49" i="15" s="1"/>
  <c r="D106" i="14"/>
  <c r="D107" i="14" s="1"/>
  <c r="D99" i="18" s="1"/>
  <c r="E33" i="14"/>
  <c r="E36" i="14" s="1"/>
  <c r="E30" i="14"/>
  <c r="D52" i="12"/>
  <c r="D53" i="12" s="1"/>
  <c r="D55" i="12" s="1"/>
  <c r="C175" i="12"/>
  <c r="K58" i="12"/>
  <c r="K59" i="12" s="1"/>
  <c r="K60" i="12" s="1"/>
  <c r="K35" i="18" s="1"/>
  <c r="K257" i="18" s="1"/>
  <c r="L40" i="13"/>
  <c r="L112" i="13" s="1"/>
  <c r="F40" i="13"/>
  <c r="F112" i="13" s="1"/>
  <c r="M30" i="13"/>
  <c r="M31" i="13" s="1"/>
  <c r="I30" i="13"/>
  <c r="I31" i="13" s="1"/>
  <c r="L52" i="12"/>
  <c r="L53" i="12" s="1"/>
  <c r="L55" i="12" s="1"/>
  <c r="D30" i="13"/>
  <c r="D31" i="13" s="1"/>
  <c r="H52" i="12"/>
  <c r="H53" i="12" s="1"/>
  <c r="H55" i="12" s="1"/>
  <c r="J30" i="13"/>
  <c r="J31" i="13" s="1"/>
  <c r="E52" i="12"/>
  <c r="E53" i="12" s="1"/>
  <c r="E55" i="12" s="1"/>
  <c r="K30" i="13"/>
  <c r="K31" i="13" s="1"/>
  <c r="H30" i="13"/>
  <c r="H31" i="13" s="1"/>
  <c r="E30" i="13"/>
  <c r="E31" i="13" s="1"/>
  <c r="J52" i="12"/>
  <c r="J53" i="12" s="1"/>
  <c r="J55" i="12" s="1"/>
  <c r="G52" i="12"/>
  <c r="G53" i="12" s="1"/>
  <c r="G55" i="12" s="1"/>
  <c r="F52" i="12"/>
  <c r="F53" i="12" s="1"/>
  <c r="F55" i="12" s="1"/>
  <c r="K52" i="12"/>
  <c r="K53" i="12" s="1"/>
  <c r="K55" i="12" s="1"/>
  <c r="I52" i="12"/>
  <c r="I53" i="12" s="1"/>
  <c r="I55" i="12" s="1"/>
  <c r="D58" i="12"/>
  <c r="D59" i="12" s="1"/>
  <c r="D60" i="12" s="1"/>
  <c r="E46" i="12"/>
  <c r="E13" i="18" s="1"/>
  <c r="E235" i="18" s="1"/>
  <c r="H58" i="12"/>
  <c r="H59" i="12" s="1"/>
  <c r="H60" i="12" s="1"/>
  <c r="H35" i="18" s="1"/>
  <c r="H257" i="18" s="1"/>
  <c r="I46" i="12"/>
  <c r="L58" i="12"/>
  <c r="L59" i="12" s="1"/>
  <c r="L60" i="12" s="1"/>
  <c r="L35" i="18" s="1"/>
  <c r="L257" i="18" s="1"/>
  <c r="M46" i="12"/>
  <c r="J58" i="12"/>
  <c r="J59" i="12" s="1"/>
  <c r="J60" i="12" s="1"/>
  <c r="J35" i="18" s="1"/>
  <c r="J257" i="18" s="1"/>
  <c r="K46" i="12"/>
  <c r="K13" i="18" s="1"/>
  <c r="G58" i="12"/>
  <c r="G59" i="12" s="1"/>
  <c r="G60" i="12" s="1"/>
  <c r="G35" i="18" s="1"/>
  <c r="G257" i="18" s="1"/>
  <c r="H46" i="12"/>
  <c r="H13" i="18" s="1"/>
  <c r="H235" i="18" s="1"/>
  <c r="E58" i="12"/>
  <c r="E59" i="12" s="1"/>
  <c r="E60" i="12" s="1"/>
  <c r="E35" i="18" s="1"/>
  <c r="E257" i="18" s="1"/>
  <c r="F46" i="12"/>
  <c r="F13" i="18" s="1"/>
  <c r="F235" i="18" s="1"/>
  <c r="F58" i="12"/>
  <c r="F59" i="12" s="1"/>
  <c r="F60" i="12" s="1"/>
  <c r="F35" i="18" s="1"/>
  <c r="F257" i="18" s="1"/>
  <c r="G46" i="12"/>
  <c r="G13" i="18" s="1"/>
  <c r="G235" i="18" s="1"/>
  <c r="H247" i="18" l="1"/>
  <c r="D68" i="18"/>
  <c r="D60" i="18"/>
  <c r="P111" i="18"/>
  <c r="R111" i="18" s="1"/>
  <c r="H16" i="18"/>
  <c r="H238" i="18" s="1"/>
  <c r="M16" i="18"/>
  <c r="M238" i="18" s="1"/>
  <c r="M72" i="16"/>
  <c r="M206" i="16" s="1"/>
  <c r="K16" i="18"/>
  <c r="K238" i="18" s="1"/>
  <c r="K72" i="16"/>
  <c r="K206" i="16" s="1"/>
  <c r="I58" i="16"/>
  <c r="H68" i="16"/>
  <c r="H69" i="16" s="1"/>
  <c r="H70" i="16" s="1"/>
  <c r="H40" i="18" s="1"/>
  <c r="H262" i="18" s="1"/>
  <c r="E262" i="18"/>
  <c r="J16" i="18"/>
  <c r="J72" i="16"/>
  <c r="L72" i="16"/>
  <c r="L206" i="16" s="1"/>
  <c r="C138" i="16"/>
  <c r="E72" i="16"/>
  <c r="E206" i="16" s="1"/>
  <c r="D16" i="18"/>
  <c r="D238" i="18" s="1"/>
  <c r="D72" i="16"/>
  <c r="F16" i="18"/>
  <c r="F238" i="18" s="1"/>
  <c r="J206" i="16"/>
  <c r="G58" i="16"/>
  <c r="F68" i="16"/>
  <c r="F69" i="16" s="1"/>
  <c r="F70" i="16" s="1"/>
  <c r="F40" i="18" s="1"/>
  <c r="F262" i="18" s="1"/>
  <c r="I92" i="18"/>
  <c r="I118" i="18" s="1"/>
  <c r="D104" i="18"/>
  <c r="P98" i="18"/>
  <c r="K237" i="18"/>
  <c r="G100" i="14"/>
  <c r="G88" i="18" s="1"/>
  <c r="G92" i="18" s="1"/>
  <c r="C119" i="12"/>
  <c r="K235" i="18"/>
  <c r="P99" i="18"/>
  <c r="F190" i="18"/>
  <c r="F192" i="18" s="1"/>
  <c r="J248" i="18"/>
  <c r="I190" i="18"/>
  <c r="I192" i="18" s="1"/>
  <c r="J238" i="18"/>
  <c r="J166" i="18"/>
  <c r="J192" i="18" s="1"/>
  <c r="G166" i="18"/>
  <c r="G192" i="18" s="1"/>
  <c r="E118" i="18"/>
  <c r="L114" i="14"/>
  <c r="L112" i="18"/>
  <c r="L116" i="18" s="1"/>
  <c r="L118" i="18" s="1"/>
  <c r="H114" i="14"/>
  <c r="H112" i="18"/>
  <c r="H116" i="18" s="1"/>
  <c r="H118" i="18" s="1"/>
  <c r="F118" i="18"/>
  <c r="J114" i="14"/>
  <c r="J112" i="18"/>
  <c r="J116" i="18" s="1"/>
  <c r="J118" i="18" s="1"/>
  <c r="D118" i="18"/>
  <c r="K114" i="14"/>
  <c r="K88" i="18"/>
  <c r="P109" i="18" s="1"/>
  <c r="M118" i="18"/>
  <c r="D62" i="12"/>
  <c r="D178" i="12" s="1"/>
  <c r="D35" i="18"/>
  <c r="D257" i="18" s="1"/>
  <c r="H56" i="15"/>
  <c r="H160" i="15" s="1"/>
  <c r="H26" i="18"/>
  <c r="H248" i="18" s="1"/>
  <c r="M56" i="15"/>
  <c r="M160" i="15" s="1"/>
  <c r="M26" i="18"/>
  <c r="M248" i="18" s="1"/>
  <c r="I247" i="18"/>
  <c r="K168" i="14"/>
  <c r="K173" i="18"/>
  <c r="K178" i="18" s="1"/>
  <c r="K192" i="18" s="1"/>
  <c r="L168" i="14"/>
  <c r="L173" i="18"/>
  <c r="L178" i="18" s="1"/>
  <c r="L192" i="18" s="1"/>
  <c r="M168" i="14"/>
  <c r="M173" i="18"/>
  <c r="M178" i="18" s="1"/>
  <c r="M192" i="18" s="1"/>
  <c r="K40" i="13"/>
  <c r="K112" i="13" s="1"/>
  <c r="K24" i="18"/>
  <c r="K246" i="18" s="1"/>
  <c r="H40" i="13"/>
  <c r="H112" i="13" s="1"/>
  <c r="H24" i="18"/>
  <c r="H246" i="18" s="1"/>
  <c r="D40" i="13"/>
  <c r="D112" i="13" s="1"/>
  <c r="D24" i="18"/>
  <c r="E40" i="13"/>
  <c r="E112" i="13" s="1"/>
  <c r="E24" i="18"/>
  <c r="E246" i="18" s="1"/>
  <c r="J40" i="13"/>
  <c r="J112" i="13" s="1"/>
  <c r="J24" i="18"/>
  <c r="J246" i="18" s="1"/>
  <c r="I40" i="13"/>
  <c r="I112" i="13" s="1"/>
  <c r="I24" i="18"/>
  <c r="I246" i="18" s="1"/>
  <c r="M40" i="13"/>
  <c r="M112" i="13" s="1"/>
  <c r="M24" i="18"/>
  <c r="M246" i="18" s="1"/>
  <c r="G32" i="18"/>
  <c r="G254" i="18" s="1"/>
  <c r="G23" i="18"/>
  <c r="D32" i="18"/>
  <c r="D23" i="18"/>
  <c r="F32" i="18"/>
  <c r="F254" i="18" s="1"/>
  <c r="F23" i="18"/>
  <c r="H32" i="18"/>
  <c r="H254" i="18" s="1"/>
  <c r="H23" i="18"/>
  <c r="E32" i="18"/>
  <c r="E254" i="18" s="1"/>
  <c r="E23" i="18"/>
  <c r="M32" i="18"/>
  <c r="M254" i="18" s="1"/>
  <c r="M23" i="18"/>
  <c r="I32" i="18"/>
  <c r="I254" i="18" s="1"/>
  <c r="I23" i="18"/>
  <c r="J32" i="18"/>
  <c r="J254" i="18" s="1"/>
  <c r="J23" i="18"/>
  <c r="L32" i="18"/>
  <c r="L254" i="18" s="1"/>
  <c r="L23" i="18"/>
  <c r="K32" i="18"/>
  <c r="K254" i="18" s="1"/>
  <c r="K23" i="18"/>
  <c r="G118" i="18"/>
  <c r="G114" i="14"/>
  <c r="M114" i="14"/>
  <c r="L62" i="12"/>
  <c r="L178" i="12" s="1"/>
  <c r="E38" i="14"/>
  <c r="E42" i="14" s="1"/>
  <c r="I62" i="12"/>
  <c r="I178" i="12" s="1"/>
  <c r="I13" i="18"/>
  <c r="P34" i="18" s="1"/>
  <c r="E114" i="14"/>
  <c r="M62" i="12"/>
  <c r="M178" i="12" s="1"/>
  <c r="M13" i="18"/>
  <c r="M235" i="18" s="1"/>
  <c r="F114" i="14"/>
  <c r="C169" i="14"/>
  <c r="D114" i="14"/>
  <c r="D38" i="14"/>
  <c r="D42" i="14" s="1"/>
  <c r="D46" i="14" s="1"/>
  <c r="D14" i="18" s="1"/>
  <c r="D52" i="14"/>
  <c r="D53" i="14" s="1"/>
  <c r="D25" i="18" s="1"/>
  <c r="K38" i="14"/>
  <c r="K42" i="14" s="1"/>
  <c r="J56" i="14" s="1"/>
  <c r="J57" i="14" s="1"/>
  <c r="J58" i="14" s="1"/>
  <c r="J38" i="18" s="1"/>
  <c r="F52" i="14"/>
  <c r="F53" i="14" s="1"/>
  <c r="F25" i="18" s="1"/>
  <c r="F247" i="18" s="1"/>
  <c r="J38" i="14"/>
  <c r="J42" i="14" s="1"/>
  <c r="I56" i="14" s="1"/>
  <c r="I57" i="14" s="1"/>
  <c r="I58" i="14" s="1"/>
  <c r="I38" i="18" s="1"/>
  <c r="I260" i="18" s="1"/>
  <c r="N38" i="14"/>
  <c r="N42" i="14" s="1"/>
  <c r="M56" i="14" s="1"/>
  <c r="M57" i="14" s="1"/>
  <c r="M58" i="14" s="1"/>
  <c r="M38" i="18" s="1"/>
  <c r="E52" i="14"/>
  <c r="E53" i="14" s="1"/>
  <c r="E25" i="18" s="1"/>
  <c r="E247" i="18" s="1"/>
  <c r="D48" i="15"/>
  <c r="G48" i="15"/>
  <c r="G49" i="15" s="1"/>
  <c r="G26" i="18" s="1"/>
  <c r="G248" i="18" s="1"/>
  <c r="E48" i="15"/>
  <c r="E49" i="15" s="1"/>
  <c r="L48" i="15"/>
  <c r="L49" i="15" s="1"/>
  <c r="I48" i="15"/>
  <c r="I49" i="15" s="1"/>
  <c r="I26" i="18" s="1"/>
  <c r="I248" i="18" s="1"/>
  <c r="F48" i="15"/>
  <c r="F49" i="15" s="1"/>
  <c r="F26" i="18" s="1"/>
  <c r="F248" i="18" s="1"/>
  <c r="F52" i="15"/>
  <c r="F53" i="15" s="1"/>
  <c r="F54" i="15" s="1"/>
  <c r="F39" i="18" s="1"/>
  <c r="F261" i="18" s="1"/>
  <c r="G42" i="15"/>
  <c r="K56" i="15"/>
  <c r="K160" i="15" s="1"/>
  <c r="I52" i="15"/>
  <c r="I53" i="15" s="1"/>
  <c r="I54" i="15" s="1"/>
  <c r="I39" i="18" s="1"/>
  <c r="I261" i="18" s="1"/>
  <c r="J42" i="15"/>
  <c r="M52" i="14"/>
  <c r="M53" i="14" s="1"/>
  <c r="M25" i="18" s="1"/>
  <c r="K52" i="14"/>
  <c r="K53" i="14" s="1"/>
  <c r="K25" i="18" s="1"/>
  <c r="J52" i="14"/>
  <c r="J53" i="14" s="1"/>
  <c r="J25" i="18" s="1"/>
  <c r="J247" i="18" s="1"/>
  <c r="L30" i="14"/>
  <c r="L34" i="14"/>
  <c r="I114" i="14"/>
  <c r="M38" i="14"/>
  <c r="M42" i="14" s="1"/>
  <c r="H38" i="14"/>
  <c r="H42" i="14" s="1"/>
  <c r="G52" i="14"/>
  <c r="G53" i="14" s="1"/>
  <c r="G25" i="18" s="1"/>
  <c r="G247" i="18" s="1"/>
  <c r="D56" i="14"/>
  <c r="D57" i="14" s="1"/>
  <c r="D58" i="14" s="1"/>
  <c r="D38" i="18" s="1"/>
  <c r="D260" i="18" s="1"/>
  <c r="E46" i="14"/>
  <c r="E14" i="18" s="1"/>
  <c r="G36" i="14"/>
  <c r="G38" i="14" s="1"/>
  <c r="G42" i="14" s="1"/>
  <c r="I38" i="14"/>
  <c r="I42" i="14" s="1"/>
  <c r="D49" i="15"/>
  <c r="F38" i="14"/>
  <c r="F42" i="14" s="1"/>
  <c r="L52" i="14"/>
  <c r="L53" i="14" s="1"/>
  <c r="L25" i="18" s="1"/>
  <c r="J62" i="12"/>
  <c r="J178" i="12" s="1"/>
  <c r="K62" i="12"/>
  <c r="K178" i="12" s="1"/>
  <c r="H62" i="12"/>
  <c r="H178" i="12" s="1"/>
  <c r="F62" i="12"/>
  <c r="F178" i="12" s="1"/>
  <c r="E62" i="12"/>
  <c r="E178" i="12" s="1"/>
  <c r="G62" i="12"/>
  <c r="G178" i="12" s="1"/>
  <c r="G16" i="18" l="1"/>
  <c r="G238" i="18" s="1"/>
  <c r="G72" i="16"/>
  <c r="G206" i="16" s="1"/>
  <c r="D206" i="16"/>
  <c r="H72" i="16"/>
  <c r="H206" i="16" s="1"/>
  <c r="F72" i="16"/>
  <c r="F206" i="16" s="1"/>
  <c r="I16" i="18"/>
  <c r="I72" i="16"/>
  <c r="I206" i="16" s="1"/>
  <c r="C113" i="13"/>
  <c r="K92" i="18"/>
  <c r="K118" i="18" s="1"/>
  <c r="C119" i="18" s="1"/>
  <c r="M247" i="18"/>
  <c r="K247" i="18"/>
  <c r="I235" i="18"/>
  <c r="L247" i="18"/>
  <c r="J260" i="18"/>
  <c r="J264" i="18" s="1"/>
  <c r="I264" i="18"/>
  <c r="M260" i="18"/>
  <c r="M264" i="18" s="1"/>
  <c r="M42" i="18"/>
  <c r="D264" i="18"/>
  <c r="E56" i="15"/>
  <c r="E160" i="15" s="1"/>
  <c r="E26" i="18"/>
  <c r="E248" i="18" s="1"/>
  <c r="D56" i="15"/>
  <c r="D160" i="15" s="1"/>
  <c r="D26" i="18"/>
  <c r="D30" i="18" s="1"/>
  <c r="L56" i="15"/>
  <c r="L160" i="15" s="1"/>
  <c r="L26" i="18"/>
  <c r="L248" i="18" s="1"/>
  <c r="P24" i="18"/>
  <c r="D247" i="18"/>
  <c r="C41" i="13"/>
  <c r="P23" i="18"/>
  <c r="D246" i="18"/>
  <c r="K245" i="18"/>
  <c r="K252" i="18" s="1"/>
  <c r="K30" i="18"/>
  <c r="J245" i="18"/>
  <c r="J252" i="18" s="1"/>
  <c r="J30" i="18"/>
  <c r="M245" i="18"/>
  <c r="M252" i="18" s="1"/>
  <c r="M30" i="18"/>
  <c r="H245" i="18"/>
  <c r="H252" i="18" s="1"/>
  <c r="H30" i="18"/>
  <c r="P22" i="18"/>
  <c r="D245" i="18"/>
  <c r="D254" i="18"/>
  <c r="L245" i="18"/>
  <c r="I245" i="18"/>
  <c r="I252" i="18" s="1"/>
  <c r="I30" i="18"/>
  <c r="E245" i="18"/>
  <c r="E252" i="18" s="1"/>
  <c r="E30" i="18"/>
  <c r="F245" i="18"/>
  <c r="F252" i="18" s="1"/>
  <c r="F30" i="18"/>
  <c r="G245" i="18"/>
  <c r="G252" i="18" s="1"/>
  <c r="G30" i="18"/>
  <c r="E18" i="18"/>
  <c r="E236" i="18"/>
  <c r="E240" i="18" s="1"/>
  <c r="D18" i="18"/>
  <c r="D236" i="18"/>
  <c r="D240" i="18" s="1"/>
  <c r="I56" i="15"/>
  <c r="I160" i="15" s="1"/>
  <c r="C179" i="12"/>
  <c r="G56" i="15"/>
  <c r="G160" i="15" s="1"/>
  <c r="G15" i="18"/>
  <c r="G237" i="18" s="1"/>
  <c r="J56" i="15"/>
  <c r="J160" i="15" s="1"/>
  <c r="J15" i="18"/>
  <c r="J237" i="18" s="1"/>
  <c r="K46" i="14"/>
  <c r="K14" i="18" s="1"/>
  <c r="J46" i="14"/>
  <c r="J14" i="18" s="1"/>
  <c r="J236" i="18" s="1"/>
  <c r="D60" i="14"/>
  <c r="D172" i="14" s="1"/>
  <c r="C115" i="14"/>
  <c r="D42" i="18"/>
  <c r="F56" i="15"/>
  <c r="G46" i="14"/>
  <c r="G14" i="18" s="1"/>
  <c r="G236" i="18" s="1"/>
  <c r="F56" i="14"/>
  <c r="F57" i="14" s="1"/>
  <c r="F58" i="14" s="1"/>
  <c r="F38" i="18" s="1"/>
  <c r="F260" i="18" s="1"/>
  <c r="F264" i="18" s="1"/>
  <c r="H56" i="14"/>
  <c r="H57" i="14" s="1"/>
  <c r="H58" i="14" s="1"/>
  <c r="H38" i="18" s="1"/>
  <c r="H260" i="18" s="1"/>
  <c r="H264" i="18" s="1"/>
  <c r="I46" i="14"/>
  <c r="I14" i="18" s="1"/>
  <c r="P35" i="18" s="1"/>
  <c r="G56" i="14"/>
  <c r="G57" i="14" s="1"/>
  <c r="G58" i="14" s="1"/>
  <c r="G38" i="18" s="1"/>
  <c r="G260" i="18" s="1"/>
  <c r="G264" i="18" s="1"/>
  <c r="H46" i="14"/>
  <c r="L56" i="14"/>
  <c r="L57" i="14" s="1"/>
  <c r="L58" i="14" s="1"/>
  <c r="L38" i="18" s="1"/>
  <c r="L260" i="18" s="1"/>
  <c r="L264" i="18" s="1"/>
  <c r="M46" i="14"/>
  <c r="F46" i="14"/>
  <c r="E56" i="14"/>
  <c r="E57" i="14" s="1"/>
  <c r="E58" i="14" s="1"/>
  <c r="J60" i="14"/>
  <c r="J172" i="14" s="1"/>
  <c r="L35" i="14"/>
  <c r="L36" i="14" s="1"/>
  <c r="L38" i="14" s="1"/>
  <c r="L42" i="14" s="1"/>
  <c r="C63" i="12"/>
  <c r="L252" i="18" l="1"/>
  <c r="C207" i="16"/>
  <c r="P37" i="18"/>
  <c r="I238" i="18"/>
  <c r="C73" i="16"/>
  <c r="R109" i="18"/>
  <c r="R113" i="18" s="1"/>
  <c r="R116" i="18" s="1"/>
  <c r="P113" i="18"/>
  <c r="R119" i="18" s="1"/>
  <c r="L30" i="18"/>
  <c r="J240" i="18"/>
  <c r="J266" i="18" s="1"/>
  <c r="E60" i="14"/>
  <c r="E172" i="14" s="1"/>
  <c r="E38" i="18"/>
  <c r="E260" i="18" s="1"/>
  <c r="E264" i="18" s="1"/>
  <c r="E266" i="18" s="1"/>
  <c r="D44" i="18"/>
  <c r="D248" i="18"/>
  <c r="D252" i="18" s="1"/>
  <c r="D266" i="18" s="1"/>
  <c r="P25" i="18"/>
  <c r="I18" i="18"/>
  <c r="I236" i="18"/>
  <c r="K18" i="18"/>
  <c r="K236" i="18"/>
  <c r="K240" i="18" s="1"/>
  <c r="G240" i="18"/>
  <c r="G266" i="18" s="1"/>
  <c r="G18" i="18"/>
  <c r="J18" i="18"/>
  <c r="J42" i="18"/>
  <c r="C57" i="15"/>
  <c r="F160" i="15"/>
  <c r="C161" i="15" s="1"/>
  <c r="I60" i="14"/>
  <c r="I172" i="14" s="1"/>
  <c r="M60" i="14"/>
  <c r="M172" i="14" s="1"/>
  <c r="M14" i="18"/>
  <c r="F60" i="14"/>
  <c r="F172" i="14" s="1"/>
  <c r="F14" i="18"/>
  <c r="H60" i="14"/>
  <c r="H172" i="14" s="1"/>
  <c r="H14" i="18"/>
  <c r="K56" i="14"/>
  <c r="L46" i="14"/>
  <c r="G60" i="14"/>
  <c r="G172" i="14" s="1"/>
  <c r="R121" i="18" l="1"/>
  <c r="R122" i="18"/>
  <c r="R123" i="18"/>
  <c r="I240" i="18"/>
  <c r="I266" i="18" s="1"/>
  <c r="H18" i="18"/>
  <c r="H236" i="18"/>
  <c r="H240" i="18" s="1"/>
  <c r="H266" i="18" s="1"/>
  <c r="M18" i="18"/>
  <c r="M44" i="18" s="1"/>
  <c r="M236" i="18"/>
  <c r="M240" i="18" s="1"/>
  <c r="M266" i="18" s="1"/>
  <c r="F18" i="18"/>
  <c r="F236" i="18"/>
  <c r="F240" i="18" s="1"/>
  <c r="F266" i="18" s="1"/>
  <c r="J44" i="18"/>
  <c r="L60" i="14"/>
  <c r="L172" i="14" s="1"/>
  <c r="L14" i="18"/>
  <c r="E42" i="18"/>
  <c r="H42" i="18"/>
  <c r="I42" i="18"/>
  <c r="I44" i="18" s="1"/>
  <c r="F42" i="18"/>
  <c r="F44" i="18" s="1"/>
  <c r="K57" i="14"/>
  <c r="K58" i="14" s="1"/>
  <c r="D149" i="18" l="1"/>
  <c r="E149" i="18"/>
  <c r="F149" i="18"/>
  <c r="G149" i="18"/>
  <c r="H149" i="18"/>
  <c r="I149" i="18"/>
  <c r="J149" i="18"/>
  <c r="K149" i="18"/>
  <c r="L149" i="18"/>
  <c r="M149" i="18"/>
  <c r="R124" i="18"/>
  <c r="D151" i="18"/>
  <c r="E151" i="18"/>
  <c r="F151" i="18"/>
  <c r="G151" i="18"/>
  <c r="H151" i="18"/>
  <c r="I151" i="18"/>
  <c r="J151" i="18"/>
  <c r="K151" i="18"/>
  <c r="L151" i="18"/>
  <c r="M151" i="18"/>
  <c r="D150" i="18"/>
  <c r="E150" i="18"/>
  <c r="F150" i="18"/>
  <c r="G150" i="18"/>
  <c r="H150" i="18"/>
  <c r="I150" i="18"/>
  <c r="J150" i="18"/>
  <c r="K150" i="18"/>
  <c r="L150" i="18"/>
  <c r="M150" i="18"/>
  <c r="E44" i="18"/>
  <c r="K60" i="14"/>
  <c r="C61" i="14" s="1"/>
  <c r="K38" i="18"/>
  <c r="K260" i="18" s="1"/>
  <c r="K264" i="18" s="1"/>
  <c r="K266" i="18" s="1"/>
  <c r="L18" i="18"/>
  <c r="L236" i="18"/>
  <c r="L240" i="18" s="1"/>
  <c r="L266" i="18" s="1"/>
  <c r="H44" i="18"/>
  <c r="L42" i="18"/>
  <c r="G42" i="18"/>
  <c r="G44" i="18" s="1"/>
  <c r="D152" i="18" l="1"/>
  <c r="E152" i="18"/>
  <c r="F152" i="18"/>
  <c r="G152" i="18"/>
  <c r="H152" i="18"/>
  <c r="I152" i="18"/>
  <c r="J152" i="18"/>
  <c r="K152" i="18"/>
  <c r="L152" i="18"/>
  <c r="M152" i="18"/>
  <c r="K172" i="14"/>
  <c r="L44" i="18"/>
  <c r="K42" i="18"/>
  <c r="C173" i="14"/>
  <c r="K44" i="18" l="1"/>
  <c r="C45" i="18" l="1"/>
  <c r="R34" i="18"/>
  <c r="R35" i="18"/>
  <c r="R36" i="18"/>
  <c r="R37" i="18"/>
  <c r="R38" i="18"/>
  <c r="P39" i="18"/>
  <c r="R45" i="18" s="1"/>
  <c r="R39" i="18" l="1"/>
  <c r="R42" i="18" l="1"/>
  <c r="R47" i="18" s="1"/>
  <c r="D76" i="18" l="1"/>
  <c r="D298" i="18" s="1"/>
  <c r="E76" i="18"/>
  <c r="E298" i="18" s="1"/>
  <c r="F76" i="18"/>
  <c r="F298" i="18" s="1"/>
  <c r="G76" i="18"/>
  <c r="G298" i="18" s="1"/>
  <c r="H76" i="18"/>
  <c r="H298" i="18" s="1"/>
  <c r="I76" i="18"/>
  <c r="I298" i="18" s="1"/>
  <c r="J76" i="18"/>
  <c r="J298" i="18" s="1"/>
  <c r="K76" i="18"/>
  <c r="K298" i="18" s="1"/>
  <c r="L76" i="18"/>
  <c r="L298" i="18" s="1"/>
  <c r="M76" i="18"/>
  <c r="M298" i="18" s="1"/>
  <c r="R49" i="18"/>
  <c r="R48" i="18"/>
  <c r="D77" i="18" l="1"/>
  <c r="D299" i="18" s="1"/>
  <c r="E77" i="18"/>
  <c r="E299" i="18" s="1"/>
  <c r="F77" i="18"/>
  <c r="F299" i="18" s="1"/>
  <c r="G77" i="18"/>
  <c r="G299" i="18" s="1"/>
  <c r="H77" i="18"/>
  <c r="H299" i="18" s="1"/>
  <c r="I77" i="18"/>
  <c r="I299" i="18" s="1"/>
  <c r="J77" i="18"/>
  <c r="J299" i="18" s="1"/>
  <c r="K77" i="18"/>
  <c r="K299" i="18" s="1"/>
  <c r="L77" i="18"/>
  <c r="L299" i="18" s="1"/>
  <c r="M77" i="18"/>
  <c r="M299" i="18" s="1"/>
  <c r="D75" i="18"/>
  <c r="D297" i="18" s="1"/>
  <c r="E75" i="18"/>
  <c r="E297" i="18" s="1"/>
  <c r="F75" i="18"/>
  <c r="F297" i="18" s="1"/>
  <c r="G75" i="18"/>
  <c r="G297" i="18" s="1"/>
  <c r="H75" i="18"/>
  <c r="H297" i="18" s="1"/>
  <c r="I75" i="18"/>
  <c r="I297" i="18" s="1"/>
  <c r="J75" i="18"/>
  <c r="J297" i="18" s="1"/>
  <c r="K75" i="18"/>
  <c r="K297" i="18" s="1"/>
  <c r="L75" i="18"/>
  <c r="L297" i="18" s="1"/>
  <c r="M75" i="18"/>
  <c r="M297" i="18" s="1"/>
  <c r="R50" i="18"/>
  <c r="D78" i="18" l="1"/>
  <c r="D300" i="18" s="1"/>
  <c r="E78" i="18"/>
  <c r="E300" i="18" s="1"/>
  <c r="F78" i="18"/>
  <c r="F300" i="18" s="1"/>
  <c r="G78" i="18"/>
  <c r="G300" i="18" s="1"/>
  <c r="H78" i="18"/>
  <c r="H300" i="18" s="1"/>
  <c r="I78" i="18"/>
  <c r="I300" i="18" s="1"/>
  <c r="J78" i="18"/>
  <c r="J300" i="18" s="1"/>
  <c r="K78" i="18"/>
  <c r="K300" i="18" s="1"/>
  <c r="L78" i="18"/>
  <c r="L300" i="18" s="1"/>
  <c r="M78" i="18"/>
  <c r="M300" i="18" s="1"/>
  <c r="P14" i="18"/>
  <c r="R14" i="18"/>
  <c r="P15" i="18"/>
  <c r="R15" i="18"/>
  <c r="P16" i="18"/>
  <c r="R16" i="18"/>
  <c r="R17" i="18"/>
  <c r="P18" i="18"/>
  <c r="R18" i="18"/>
  <c r="R21" i="18"/>
  <c r="R22" i="18"/>
  <c r="R23" i="18"/>
  <c r="R24" i="18"/>
  <c r="R25" i="18"/>
  <c r="R26" i="18"/>
  <c r="R27" i="18"/>
  <c r="R28" i="18"/>
  <c r="P29" i="18"/>
  <c r="R29" i="18"/>
  <c r="P30" i="18"/>
  <c r="R30" i="18"/>
  <c r="D48" i="18"/>
  <c r="E48" i="18"/>
  <c r="F48" i="18"/>
  <c r="G48" i="18"/>
  <c r="H48" i="18"/>
  <c r="I48" i="18"/>
  <c r="J48" i="18"/>
  <c r="K48" i="18"/>
  <c r="L48" i="18"/>
  <c r="M48" i="18"/>
  <c r="D49" i="18"/>
  <c r="E49" i="18"/>
  <c r="F49" i="18"/>
  <c r="G49" i="18"/>
  <c r="H49" i="18"/>
  <c r="I49" i="18"/>
  <c r="J49" i="18"/>
  <c r="K49" i="18"/>
  <c r="L49" i="18"/>
  <c r="M49" i="18"/>
  <c r="D50" i="18"/>
  <c r="E50" i="18"/>
  <c r="F50" i="18"/>
  <c r="G50" i="18"/>
  <c r="H50" i="18"/>
  <c r="I50" i="18"/>
  <c r="J50" i="18"/>
  <c r="K50" i="18"/>
  <c r="L50" i="18"/>
  <c r="M50" i="18"/>
  <c r="D51" i="18"/>
  <c r="E51" i="18"/>
  <c r="F51" i="18"/>
  <c r="G51" i="18"/>
  <c r="H51" i="18"/>
  <c r="I51" i="18"/>
  <c r="J51" i="18"/>
  <c r="K51" i="18"/>
  <c r="L51" i="18"/>
  <c r="M51" i="18"/>
  <c r="D52" i="18"/>
  <c r="E52" i="18"/>
  <c r="F52" i="18"/>
  <c r="G52" i="18"/>
  <c r="H52" i="18"/>
  <c r="I52" i="18"/>
  <c r="J52" i="18"/>
  <c r="K52" i="18"/>
  <c r="L52" i="18"/>
  <c r="M52" i="18"/>
  <c r="E57" i="18"/>
  <c r="F57" i="18"/>
  <c r="G57" i="18"/>
  <c r="H57" i="18"/>
  <c r="I57" i="18"/>
  <c r="J57" i="18"/>
  <c r="K57" i="18"/>
  <c r="L57" i="18"/>
  <c r="M57" i="18"/>
  <c r="E58" i="18"/>
  <c r="F58" i="18"/>
  <c r="G58" i="18"/>
  <c r="H58" i="18"/>
  <c r="I58" i="18"/>
  <c r="J58" i="18"/>
  <c r="K58" i="18"/>
  <c r="L58" i="18"/>
  <c r="M58" i="18"/>
  <c r="D59" i="18"/>
  <c r="E59" i="18"/>
  <c r="F59" i="18"/>
  <c r="G59" i="18"/>
  <c r="H59" i="18"/>
  <c r="I59" i="18"/>
  <c r="J59" i="18"/>
  <c r="K59" i="18"/>
  <c r="L59" i="18"/>
  <c r="M59" i="18"/>
  <c r="E60" i="18"/>
  <c r="F60" i="18"/>
  <c r="G60" i="18"/>
  <c r="H60" i="18"/>
  <c r="I60" i="18"/>
  <c r="J60" i="18"/>
  <c r="K60" i="18"/>
  <c r="L60" i="18"/>
  <c r="M60" i="18"/>
  <c r="D61" i="18"/>
  <c r="E61" i="18"/>
  <c r="F61" i="18"/>
  <c r="G61" i="18"/>
  <c r="H61" i="18"/>
  <c r="I61" i="18"/>
  <c r="J61" i="18"/>
  <c r="K61" i="18"/>
  <c r="L61" i="18"/>
  <c r="M61" i="18"/>
  <c r="D62" i="18"/>
  <c r="E62" i="18"/>
  <c r="F62" i="18"/>
  <c r="G62" i="18"/>
  <c r="H62" i="18"/>
  <c r="I62" i="18"/>
  <c r="J62" i="18"/>
  <c r="K62" i="18"/>
  <c r="L62" i="18"/>
  <c r="M62" i="18"/>
  <c r="E65" i="18"/>
  <c r="F65" i="18"/>
  <c r="G65" i="18"/>
  <c r="H65" i="18"/>
  <c r="I65" i="18"/>
  <c r="J65" i="18"/>
  <c r="K65" i="18"/>
  <c r="L65" i="18"/>
  <c r="M65" i="18"/>
  <c r="E66" i="18"/>
  <c r="F66" i="18"/>
  <c r="G66" i="18"/>
  <c r="H66" i="18"/>
  <c r="I66" i="18"/>
  <c r="J66" i="18"/>
  <c r="K66" i="18"/>
  <c r="L66" i="18"/>
  <c r="M66" i="18"/>
  <c r="D67" i="18"/>
  <c r="E67" i="18"/>
  <c r="F67" i="18"/>
  <c r="G67" i="18"/>
  <c r="H67" i="18"/>
  <c r="I67" i="18"/>
  <c r="J67" i="18"/>
  <c r="K67" i="18"/>
  <c r="L67" i="18"/>
  <c r="M67" i="18"/>
  <c r="E68" i="18"/>
  <c r="F68" i="18"/>
  <c r="G68" i="18"/>
  <c r="H68" i="18"/>
  <c r="I68" i="18"/>
  <c r="J68" i="18"/>
  <c r="K68" i="18"/>
  <c r="L68" i="18"/>
  <c r="M68" i="18"/>
  <c r="D69" i="18"/>
  <c r="E69" i="18"/>
  <c r="F69" i="18"/>
  <c r="G69" i="18"/>
  <c r="H69" i="18"/>
  <c r="I69" i="18"/>
  <c r="J69" i="18"/>
  <c r="K69" i="18"/>
  <c r="L69" i="18"/>
  <c r="M69" i="18"/>
  <c r="D70" i="18"/>
  <c r="E70" i="18"/>
  <c r="F70" i="18"/>
  <c r="G70" i="18"/>
  <c r="H70" i="18"/>
  <c r="I70" i="18"/>
  <c r="J70" i="18"/>
  <c r="K70" i="18"/>
  <c r="L70" i="18"/>
  <c r="M70" i="18"/>
  <c r="D80" i="18"/>
  <c r="E80" i="18"/>
  <c r="F80" i="18"/>
  <c r="G80" i="18"/>
  <c r="H80" i="18"/>
  <c r="I80" i="18"/>
  <c r="J80" i="18"/>
  <c r="K80" i="18"/>
  <c r="L80" i="18"/>
  <c r="M80" i="18"/>
  <c r="C81" i="18"/>
  <c r="C82" i="18"/>
  <c r="P88" i="18"/>
  <c r="R88" i="18"/>
  <c r="P89" i="18"/>
  <c r="R89" i="18"/>
  <c r="P90" i="18"/>
  <c r="R90" i="18"/>
  <c r="R91" i="18"/>
  <c r="P92" i="18"/>
  <c r="R92" i="18"/>
  <c r="R95" i="18"/>
  <c r="R96" i="18"/>
  <c r="R97" i="18"/>
  <c r="R98" i="18"/>
  <c r="R99" i="18"/>
  <c r="R100" i="18"/>
  <c r="R101" i="18"/>
  <c r="R102" i="18"/>
  <c r="P103" i="18"/>
  <c r="R103" i="18"/>
  <c r="P104" i="18"/>
  <c r="R104" i="18"/>
  <c r="D122" i="18"/>
  <c r="E122" i="18"/>
  <c r="F122" i="18"/>
  <c r="G122" i="18"/>
  <c r="H122" i="18"/>
  <c r="I122" i="18"/>
  <c r="J122" i="18"/>
  <c r="K122" i="18"/>
  <c r="L122" i="18"/>
  <c r="M122" i="18"/>
  <c r="D123" i="18"/>
  <c r="E123" i="18"/>
  <c r="F123" i="18"/>
  <c r="G123" i="18"/>
  <c r="H123" i="18"/>
  <c r="I123" i="18"/>
  <c r="J123" i="18"/>
  <c r="K123" i="18"/>
  <c r="L123" i="18"/>
  <c r="M123" i="18"/>
  <c r="D124" i="18"/>
  <c r="E124" i="18"/>
  <c r="F124" i="18"/>
  <c r="G124" i="18"/>
  <c r="H124" i="18"/>
  <c r="I124" i="18"/>
  <c r="J124" i="18"/>
  <c r="K124" i="18"/>
  <c r="L124" i="18"/>
  <c r="M124" i="18"/>
  <c r="D125" i="18"/>
  <c r="E125" i="18"/>
  <c r="F125" i="18"/>
  <c r="G125" i="18"/>
  <c r="H125" i="18"/>
  <c r="I125" i="18"/>
  <c r="J125" i="18"/>
  <c r="K125" i="18"/>
  <c r="L125" i="18"/>
  <c r="M125" i="18"/>
  <c r="D126" i="18"/>
  <c r="E126" i="18"/>
  <c r="F126" i="18"/>
  <c r="G126" i="18"/>
  <c r="H126" i="18"/>
  <c r="I126" i="18"/>
  <c r="J126" i="18"/>
  <c r="K126" i="18"/>
  <c r="L126" i="18"/>
  <c r="M126" i="18"/>
  <c r="E131" i="18"/>
  <c r="F131" i="18"/>
  <c r="G131" i="18"/>
  <c r="H131" i="18"/>
  <c r="I131" i="18"/>
  <c r="J131" i="18"/>
  <c r="K131" i="18"/>
  <c r="L131" i="18"/>
  <c r="M131" i="18"/>
  <c r="E132" i="18"/>
  <c r="F132" i="18"/>
  <c r="G132" i="18"/>
  <c r="H132" i="18"/>
  <c r="I132" i="18"/>
  <c r="J132" i="18"/>
  <c r="K132" i="18"/>
  <c r="L132" i="18"/>
  <c r="M132" i="18"/>
  <c r="D133" i="18"/>
  <c r="E133" i="18"/>
  <c r="F133" i="18"/>
  <c r="G133" i="18"/>
  <c r="H133" i="18"/>
  <c r="I133" i="18"/>
  <c r="J133" i="18"/>
  <c r="K133" i="18"/>
  <c r="L133" i="18"/>
  <c r="M133" i="18"/>
  <c r="E134" i="18"/>
  <c r="F134" i="18"/>
  <c r="G134" i="18"/>
  <c r="H134" i="18"/>
  <c r="I134" i="18"/>
  <c r="J134" i="18"/>
  <c r="K134" i="18"/>
  <c r="L134" i="18"/>
  <c r="M134" i="18"/>
  <c r="D135" i="18"/>
  <c r="E135" i="18"/>
  <c r="F135" i="18"/>
  <c r="G135" i="18"/>
  <c r="H135" i="18"/>
  <c r="I135" i="18"/>
  <c r="J135" i="18"/>
  <c r="K135" i="18"/>
  <c r="L135" i="18"/>
  <c r="M135" i="18"/>
  <c r="D136" i="18"/>
  <c r="E136" i="18"/>
  <c r="F136" i="18"/>
  <c r="G136" i="18"/>
  <c r="H136" i="18"/>
  <c r="I136" i="18"/>
  <c r="J136" i="18"/>
  <c r="K136" i="18"/>
  <c r="L136" i="18"/>
  <c r="M136" i="18"/>
  <c r="E139" i="18"/>
  <c r="F139" i="18"/>
  <c r="G139" i="18"/>
  <c r="H139" i="18"/>
  <c r="I139" i="18"/>
  <c r="J139" i="18"/>
  <c r="K139" i="18"/>
  <c r="L139" i="18"/>
  <c r="M139" i="18"/>
  <c r="E140" i="18"/>
  <c r="F140" i="18"/>
  <c r="G140" i="18"/>
  <c r="H140" i="18"/>
  <c r="I140" i="18"/>
  <c r="J140" i="18"/>
  <c r="K140" i="18"/>
  <c r="L140" i="18"/>
  <c r="M140" i="18"/>
  <c r="D141" i="18"/>
  <c r="E141" i="18"/>
  <c r="F141" i="18"/>
  <c r="G141" i="18"/>
  <c r="H141" i="18"/>
  <c r="I141" i="18"/>
  <c r="J141" i="18"/>
  <c r="K141" i="18"/>
  <c r="L141" i="18"/>
  <c r="M141" i="18"/>
  <c r="E142" i="18"/>
  <c r="F142" i="18"/>
  <c r="G142" i="18"/>
  <c r="H142" i="18"/>
  <c r="I142" i="18"/>
  <c r="J142" i="18"/>
  <c r="K142" i="18"/>
  <c r="L142" i="18"/>
  <c r="M142" i="18"/>
  <c r="D143" i="18"/>
  <c r="E143" i="18"/>
  <c r="F143" i="18"/>
  <c r="G143" i="18"/>
  <c r="H143" i="18"/>
  <c r="I143" i="18"/>
  <c r="J143" i="18"/>
  <c r="K143" i="18"/>
  <c r="L143" i="18"/>
  <c r="M143" i="18"/>
  <c r="D144" i="18"/>
  <c r="E144" i="18"/>
  <c r="F144" i="18"/>
  <c r="G144" i="18"/>
  <c r="H144" i="18"/>
  <c r="I144" i="18"/>
  <c r="J144" i="18"/>
  <c r="K144" i="18"/>
  <c r="L144" i="18"/>
  <c r="M144" i="18"/>
  <c r="D154" i="18"/>
  <c r="E154" i="18"/>
  <c r="F154" i="18"/>
  <c r="G154" i="18"/>
  <c r="H154" i="18"/>
  <c r="I154" i="18"/>
  <c r="J154" i="18"/>
  <c r="K154" i="18"/>
  <c r="L154" i="18"/>
  <c r="M154" i="18"/>
  <c r="C155" i="18"/>
  <c r="C156" i="18"/>
  <c r="P162" i="18"/>
  <c r="R162" i="18"/>
  <c r="P163" i="18"/>
  <c r="R163" i="18"/>
  <c r="P164" i="18"/>
  <c r="R164" i="18"/>
  <c r="R165" i="18"/>
  <c r="P166" i="18"/>
  <c r="R166" i="18"/>
  <c r="R169" i="18"/>
  <c r="R170" i="18"/>
  <c r="R171" i="18"/>
  <c r="R172" i="18"/>
  <c r="R173" i="18"/>
  <c r="R174" i="18"/>
  <c r="R175" i="18"/>
  <c r="R176" i="18"/>
  <c r="P177" i="18"/>
  <c r="R177" i="18"/>
  <c r="P178" i="18"/>
  <c r="R178" i="18"/>
  <c r="D196" i="18"/>
  <c r="E196" i="18"/>
  <c r="F196" i="18"/>
  <c r="G196" i="18"/>
  <c r="H196" i="18"/>
  <c r="I196" i="18"/>
  <c r="J196" i="18"/>
  <c r="K196" i="18"/>
  <c r="L196" i="18"/>
  <c r="M196" i="18"/>
  <c r="D197" i="18"/>
  <c r="E197" i="18"/>
  <c r="F197" i="18"/>
  <c r="G197" i="18"/>
  <c r="H197" i="18"/>
  <c r="I197" i="18"/>
  <c r="J197" i="18"/>
  <c r="K197" i="18"/>
  <c r="L197" i="18"/>
  <c r="M197" i="18"/>
  <c r="D198" i="18"/>
  <c r="E198" i="18"/>
  <c r="F198" i="18"/>
  <c r="G198" i="18"/>
  <c r="H198" i="18"/>
  <c r="I198" i="18"/>
  <c r="J198" i="18"/>
  <c r="K198" i="18"/>
  <c r="L198" i="18"/>
  <c r="M198" i="18"/>
  <c r="D199" i="18"/>
  <c r="E199" i="18"/>
  <c r="F199" i="18"/>
  <c r="G199" i="18"/>
  <c r="H199" i="18"/>
  <c r="I199" i="18"/>
  <c r="J199" i="18"/>
  <c r="K199" i="18"/>
  <c r="L199" i="18"/>
  <c r="M199" i="18"/>
  <c r="D200" i="18"/>
  <c r="E200" i="18"/>
  <c r="F200" i="18"/>
  <c r="G200" i="18"/>
  <c r="H200" i="18"/>
  <c r="I200" i="18"/>
  <c r="J200" i="18"/>
  <c r="K200" i="18"/>
  <c r="L200" i="18"/>
  <c r="M200" i="18"/>
  <c r="E205" i="18"/>
  <c r="F205" i="18"/>
  <c r="G205" i="18"/>
  <c r="H205" i="18"/>
  <c r="I205" i="18"/>
  <c r="J205" i="18"/>
  <c r="K205" i="18"/>
  <c r="L205" i="18"/>
  <c r="M205" i="18"/>
  <c r="E206" i="18"/>
  <c r="F206" i="18"/>
  <c r="G206" i="18"/>
  <c r="H206" i="18"/>
  <c r="I206" i="18"/>
  <c r="J206" i="18"/>
  <c r="K206" i="18"/>
  <c r="L206" i="18"/>
  <c r="M206" i="18"/>
  <c r="D207" i="18"/>
  <c r="E207" i="18"/>
  <c r="F207" i="18"/>
  <c r="G207" i="18"/>
  <c r="H207" i="18"/>
  <c r="I207" i="18"/>
  <c r="J207" i="18"/>
  <c r="K207" i="18"/>
  <c r="L207" i="18"/>
  <c r="M207" i="18"/>
  <c r="E208" i="18"/>
  <c r="F208" i="18"/>
  <c r="G208" i="18"/>
  <c r="H208" i="18"/>
  <c r="I208" i="18"/>
  <c r="J208" i="18"/>
  <c r="K208" i="18"/>
  <c r="L208" i="18"/>
  <c r="M208" i="18"/>
  <c r="D209" i="18"/>
  <c r="E209" i="18"/>
  <c r="F209" i="18"/>
  <c r="G209" i="18"/>
  <c r="H209" i="18"/>
  <c r="I209" i="18"/>
  <c r="J209" i="18"/>
  <c r="K209" i="18"/>
  <c r="L209" i="18"/>
  <c r="M209" i="18"/>
  <c r="D210" i="18"/>
  <c r="E210" i="18"/>
  <c r="F210" i="18"/>
  <c r="G210" i="18"/>
  <c r="H210" i="18"/>
  <c r="I210" i="18"/>
  <c r="J210" i="18"/>
  <c r="K210" i="18"/>
  <c r="L210" i="18"/>
  <c r="M210" i="18"/>
  <c r="E213" i="18"/>
  <c r="F213" i="18"/>
  <c r="G213" i="18"/>
  <c r="H213" i="18"/>
  <c r="I213" i="18"/>
  <c r="J213" i="18"/>
  <c r="K213" i="18"/>
  <c r="L213" i="18"/>
  <c r="M213" i="18"/>
  <c r="E214" i="18"/>
  <c r="F214" i="18"/>
  <c r="G214" i="18"/>
  <c r="H214" i="18"/>
  <c r="I214" i="18"/>
  <c r="J214" i="18"/>
  <c r="K214" i="18"/>
  <c r="L214" i="18"/>
  <c r="M214" i="18"/>
  <c r="D215" i="18"/>
  <c r="E215" i="18"/>
  <c r="F215" i="18"/>
  <c r="G215" i="18"/>
  <c r="H215" i="18"/>
  <c r="I215" i="18"/>
  <c r="J215" i="18"/>
  <c r="K215" i="18"/>
  <c r="L215" i="18"/>
  <c r="M215" i="18"/>
  <c r="E216" i="18"/>
  <c r="F216" i="18"/>
  <c r="G216" i="18"/>
  <c r="H216" i="18"/>
  <c r="I216" i="18"/>
  <c r="J216" i="18"/>
  <c r="K216" i="18"/>
  <c r="L216" i="18"/>
  <c r="M216" i="18"/>
  <c r="D217" i="18"/>
  <c r="E217" i="18"/>
  <c r="F217" i="18"/>
  <c r="G217" i="18"/>
  <c r="H217" i="18"/>
  <c r="I217" i="18"/>
  <c r="J217" i="18"/>
  <c r="K217" i="18"/>
  <c r="L217" i="18"/>
  <c r="M217" i="18"/>
  <c r="D218" i="18"/>
  <c r="E218" i="18"/>
  <c r="F218" i="18"/>
  <c r="G218" i="18"/>
  <c r="H218" i="18"/>
  <c r="I218" i="18"/>
  <c r="J218" i="18"/>
  <c r="K218" i="18"/>
  <c r="L218" i="18"/>
  <c r="M218" i="18"/>
  <c r="D228" i="18"/>
  <c r="E228" i="18"/>
  <c r="F228" i="18"/>
  <c r="G228" i="18"/>
  <c r="H228" i="18"/>
  <c r="I228" i="18"/>
  <c r="J228" i="18"/>
  <c r="K228" i="18"/>
  <c r="L228" i="18"/>
  <c r="M228" i="18"/>
  <c r="C229" i="18"/>
  <c r="C230" i="18"/>
  <c r="D270" i="18"/>
  <c r="E270" i="18"/>
  <c r="F270" i="18"/>
  <c r="G270" i="18"/>
  <c r="H270" i="18"/>
  <c r="I270" i="18"/>
  <c r="J270" i="18"/>
  <c r="K270" i="18"/>
  <c r="L270" i="18"/>
  <c r="M270" i="18"/>
  <c r="D271" i="18"/>
  <c r="E271" i="18"/>
  <c r="F271" i="18"/>
  <c r="G271" i="18"/>
  <c r="H271" i="18"/>
  <c r="I271" i="18"/>
  <c r="J271" i="18"/>
  <c r="K271" i="18"/>
  <c r="L271" i="18"/>
  <c r="M271" i="18"/>
  <c r="D272" i="18"/>
  <c r="E272" i="18"/>
  <c r="F272" i="18"/>
  <c r="G272" i="18"/>
  <c r="H272" i="18"/>
  <c r="I272" i="18"/>
  <c r="J272" i="18"/>
  <c r="K272" i="18"/>
  <c r="L272" i="18"/>
  <c r="M272" i="18"/>
  <c r="D273" i="18"/>
  <c r="E273" i="18"/>
  <c r="F273" i="18"/>
  <c r="G273" i="18"/>
  <c r="H273" i="18"/>
  <c r="I273" i="18"/>
  <c r="J273" i="18"/>
  <c r="K273" i="18"/>
  <c r="L273" i="18"/>
  <c r="M273" i="18"/>
  <c r="D274" i="18"/>
  <c r="E274" i="18"/>
  <c r="F274" i="18"/>
  <c r="G274" i="18"/>
  <c r="H274" i="18"/>
  <c r="I274" i="18"/>
  <c r="J274" i="18"/>
  <c r="K274" i="18"/>
  <c r="L274" i="18"/>
  <c r="M274" i="18"/>
  <c r="E279" i="18"/>
  <c r="F279" i="18"/>
  <c r="G279" i="18"/>
  <c r="H279" i="18"/>
  <c r="I279" i="18"/>
  <c r="J279" i="18"/>
  <c r="K279" i="18"/>
  <c r="L279" i="18"/>
  <c r="M279" i="18"/>
  <c r="E280" i="18"/>
  <c r="F280" i="18"/>
  <c r="G280" i="18"/>
  <c r="H280" i="18"/>
  <c r="I280" i="18"/>
  <c r="J280" i="18"/>
  <c r="K280" i="18"/>
  <c r="L280" i="18"/>
  <c r="M280" i="18"/>
  <c r="D281" i="18"/>
  <c r="E281" i="18"/>
  <c r="F281" i="18"/>
  <c r="G281" i="18"/>
  <c r="H281" i="18"/>
  <c r="I281" i="18"/>
  <c r="J281" i="18"/>
  <c r="K281" i="18"/>
  <c r="L281" i="18"/>
  <c r="M281" i="18"/>
  <c r="E282" i="18"/>
  <c r="F282" i="18"/>
  <c r="G282" i="18"/>
  <c r="H282" i="18"/>
  <c r="I282" i="18"/>
  <c r="J282" i="18"/>
  <c r="K282" i="18"/>
  <c r="L282" i="18"/>
  <c r="M282" i="18"/>
  <c r="D283" i="18"/>
  <c r="E283" i="18"/>
  <c r="F283" i="18"/>
  <c r="G283" i="18"/>
  <c r="H283" i="18"/>
  <c r="I283" i="18"/>
  <c r="J283" i="18"/>
  <c r="K283" i="18"/>
  <c r="L283" i="18"/>
  <c r="M283" i="18"/>
  <c r="D284" i="18"/>
  <c r="E284" i="18"/>
  <c r="F284" i="18"/>
  <c r="G284" i="18"/>
  <c r="H284" i="18"/>
  <c r="I284" i="18"/>
  <c r="J284" i="18"/>
  <c r="K284" i="18"/>
  <c r="L284" i="18"/>
  <c r="M284" i="18"/>
  <c r="E287" i="18"/>
  <c r="F287" i="18"/>
  <c r="G287" i="18"/>
  <c r="H287" i="18"/>
  <c r="I287" i="18"/>
  <c r="J287" i="18"/>
  <c r="K287" i="18"/>
  <c r="L287" i="18"/>
  <c r="M287" i="18"/>
  <c r="E288" i="18"/>
  <c r="F288" i="18"/>
  <c r="G288" i="18"/>
  <c r="H288" i="18"/>
  <c r="I288" i="18"/>
  <c r="J288" i="18"/>
  <c r="K288" i="18"/>
  <c r="L288" i="18"/>
  <c r="M288" i="18"/>
  <c r="D289" i="18"/>
  <c r="E289" i="18"/>
  <c r="F289" i="18"/>
  <c r="G289" i="18"/>
  <c r="H289" i="18"/>
  <c r="I289" i="18"/>
  <c r="J289" i="18"/>
  <c r="K289" i="18"/>
  <c r="L289" i="18"/>
  <c r="M289" i="18"/>
  <c r="E290" i="18"/>
  <c r="F290" i="18"/>
  <c r="G290" i="18"/>
  <c r="H290" i="18"/>
  <c r="I290" i="18"/>
  <c r="J290" i="18"/>
  <c r="K290" i="18"/>
  <c r="L290" i="18"/>
  <c r="M290" i="18"/>
  <c r="D291" i="18"/>
  <c r="E291" i="18"/>
  <c r="F291" i="18"/>
  <c r="G291" i="18"/>
  <c r="H291" i="18"/>
  <c r="I291" i="18"/>
  <c r="J291" i="18"/>
  <c r="K291" i="18"/>
  <c r="L291" i="18"/>
  <c r="M291" i="18"/>
  <c r="D292" i="18"/>
  <c r="E292" i="18"/>
  <c r="F292" i="18"/>
  <c r="G292" i="18"/>
  <c r="H292" i="18"/>
  <c r="I292" i="18"/>
  <c r="J292" i="18"/>
  <c r="K292" i="18"/>
  <c r="L292" i="18"/>
  <c r="M292" i="18"/>
  <c r="D302" i="18"/>
  <c r="E302" i="18"/>
  <c r="F302" i="18"/>
  <c r="G302" i="18"/>
  <c r="H302" i="18"/>
  <c r="I302" i="18"/>
  <c r="J302" i="18"/>
  <c r="K302" i="18"/>
  <c r="L302" i="18"/>
  <c r="M302" i="18"/>
  <c r="C303" i="18"/>
  <c r="C304" i="18"/>
  <c r="C49" i="4"/>
  <c r="D49" i="4"/>
  <c r="E49" i="4"/>
  <c r="F49" i="4"/>
  <c r="G49" i="4"/>
  <c r="H49" i="4"/>
  <c r="I49" i="4"/>
  <c r="J49" i="4"/>
  <c r="K49" i="4"/>
  <c r="L49" i="4"/>
  <c r="M49" i="4"/>
  <c r="C50" i="4"/>
  <c r="E50" i="4"/>
  <c r="F50" i="4"/>
  <c r="G50" i="4"/>
  <c r="H50" i="4"/>
  <c r="I50" i="4"/>
  <c r="J50" i="4"/>
  <c r="K50" i="4"/>
  <c r="L50" i="4"/>
  <c r="M50" i="4"/>
  <c r="C54" i="4"/>
  <c r="K86" i="4"/>
  <c r="L86" i="4"/>
  <c r="L87" i="4"/>
  <c r="K92" i="4"/>
  <c r="L92" i="4"/>
  <c r="K93" i="4"/>
  <c r="L93" i="4"/>
  <c r="G102" i="4"/>
  <c r="G104" i="4"/>
  <c r="K104" i="4"/>
  <c r="I5" i="20"/>
  <c r="K5" i="20"/>
  <c r="I6" i="20"/>
  <c r="K6" i="20"/>
  <c r="I7" i="20"/>
  <c r="K7" i="20"/>
  <c r="K8" i="20"/>
  <c r="I9" i="20"/>
  <c r="K9" i="20"/>
  <c r="K12" i="20"/>
  <c r="K13" i="20"/>
  <c r="K14" i="20"/>
  <c r="K15" i="20"/>
  <c r="K16" i="20"/>
  <c r="K17" i="20"/>
  <c r="K18" i="20"/>
  <c r="K19" i="20"/>
  <c r="I20" i="20"/>
  <c r="K20" i="20"/>
  <c r="I21" i="20"/>
  <c r="K21" i="20"/>
  <c r="I47" i="20"/>
  <c r="K47" i="20"/>
  <c r="I48" i="20"/>
  <c r="K48" i="20"/>
  <c r="I49" i="20"/>
  <c r="K49" i="20"/>
  <c r="K50" i="20"/>
  <c r="I51" i="20"/>
  <c r="K51" i="20"/>
  <c r="K54" i="20"/>
  <c r="K55" i="20"/>
  <c r="K56" i="20"/>
  <c r="K57" i="20"/>
  <c r="K58" i="20"/>
  <c r="K59" i="20"/>
  <c r="K60" i="20"/>
  <c r="K61" i="20"/>
  <c r="I62" i="20"/>
  <c r="K62" i="20"/>
  <c r="I63" i="20"/>
  <c r="K63" i="20"/>
  <c r="I89" i="20"/>
  <c r="K89" i="20"/>
  <c r="I90" i="20"/>
  <c r="K90" i="20"/>
  <c r="I91" i="20"/>
  <c r="K91" i="20"/>
  <c r="K92" i="20"/>
  <c r="I93" i="20"/>
  <c r="K93" i="20"/>
  <c r="K96" i="20"/>
  <c r="K97" i="20"/>
  <c r="K98" i="20"/>
  <c r="K99" i="20"/>
  <c r="K100" i="20"/>
  <c r="K101" i="20"/>
  <c r="K102" i="20"/>
  <c r="K103" i="20"/>
  <c r="I104" i="20"/>
  <c r="K104" i="20"/>
  <c r="I105" i="20"/>
  <c r="K105" i="20"/>
</calcChain>
</file>

<file path=xl/sharedStrings.xml><?xml version="1.0" encoding="utf-8"?>
<sst xmlns="http://schemas.openxmlformats.org/spreadsheetml/2006/main" count="2080" uniqueCount="558">
  <si>
    <t>Total Net Rentable Building Area (SF)</t>
  </si>
  <si>
    <t>Total Gross Building Area (SF)</t>
  </si>
  <si>
    <t>Non-Rentable Gross Floor Area (SF)</t>
  </si>
  <si>
    <t>Theater Gross Floor Area (SF)</t>
  </si>
  <si>
    <t>Library Gross Floor Area (SF)</t>
  </si>
  <si>
    <t>Hotel Gross Floor Area (SF)</t>
  </si>
  <si>
    <t>Office Net Rentable Area (SF)</t>
  </si>
  <si>
    <t>Retail Gross Leasable Area (SF)</t>
  </si>
  <si>
    <t>Residential Rentable Area (SF)</t>
  </si>
  <si>
    <t>Building Area Breakdown</t>
  </si>
  <si>
    <t>Overall Average</t>
  </si>
  <si>
    <t>n/a</t>
  </si>
  <si>
    <t>3 Bedroom</t>
  </si>
  <si>
    <t>2 Bedroom</t>
  </si>
  <si>
    <t>1 Bedroom</t>
  </si>
  <si>
    <t>Studio/Efficiency</t>
  </si>
  <si>
    <t>Average Unit Size (SF)</t>
  </si>
  <si>
    <t>Market Rate Unit Mix</t>
  </si>
  <si>
    <t>Affordable Unit Mix</t>
  </si>
  <si>
    <t>Overall Unit Mix</t>
  </si>
  <si>
    <t>Total Market Rate Units</t>
  </si>
  <si>
    <t>Total Affordable Units</t>
  </si>
  <si>
    <t>Total Unit Count</t>
  </si>
  <si>
    <t>Rental</t>
  </si>
  <si>
    <t>Condominium</t>
  </si>
  <si>
    <t>Residential Ownership</t>
  </si>
  <si>
    <t>Residential Units</t>
  </si>
  <si>
    <t>III</t>
  </si>
  <si>
    <t>II</t>
  </si>
  <si>
    <t>I</t>
  </si>
  <si>
    <t>Development Phase</t>
  </si>
  <si>
    <t>Building Height (Feet)</t>
  </si>
  <si>
    <t>Total</t>
  </si>
  <si>
    <t>Floor Count</t>
  </si>
  <si>
    <t>Theater</t>
  </si>
  <si>
    <t>Office</t>
  </si>
  <si>
    <t>Residential</t>
  </si>
  <si>
    <t>Building 15</t>
  </si>
  <si>
    <t>Building 14</t>
  </si>
  <si>
    <t>Building 13</t>
  </si>
  <si>
    <t>Building 12</t>
  </si>
  <si>
    <t>Building 11</t>
  </si>
  <si>
    <t>Building 10</t>
  </si>
  <si>
    <t>Building 9</t>
  </si>
  <si>
    <t>Building 8</t>
  </si>
  <si>
    <t>Building 7</t>
  </si>
  <si>
    <t>Building 6</t>
  </si>
  <si>
    <t>Building 5</t>
  </si>
  <si>
    <t>Building 4</t>
  </si>
  <si>
    <t>Building 3</t>
  </si>
  <si>
    <t>Building 2</t>
  </si>
  <si>
    <t>Building 1</t>
  </si>
  <si>
    <t>Building Number</t>
  </si>
  <si>
    <t>Proposed FAR:</t>
  </si>
  <si>
    <t>Site Area (SF / AC):</t>
  </si>
  <si>
    <t>PROJECT SUMMARY</t>
  </si>
  <si>
    <t>Team Number:</t>
  </si>
  <si>
    <t>Montage</t>
  </si>
  <si>
    <t>Project Name:</t>
  </si>
  <si>
    <t>PROJECT IDENTIFICATION</t>
  </si>
  <si>
    <t>Phase III</t>
  </si>
  <si>
    <t>Phase II</t>
  </si>
  <si>
    <t>Phase I</t>
  </si>
  <si>
    <t>Unit Type</t>
  </si>
  <si>
    <t>Affordable Apartment Units</t>
  </si>
  <si>
    <t>Market Rate Apartment Units</t>
  </si>
  <si>
    <t>Proposed Gross Floor Area (SF):</t>
  </si>
  <si>
    <t>Building Use 1</t>
  </si>
  <si>
    <t>Building Use 2</t>
  </si>
  <si>
    <t>Building Use 3</t>
  </si>
  <si>
    <t>Retail</t>
  </si>
  <si>
    <t>Library</t>
  </si>
  <si>
    <t>Food Hall</t>
  </si>
  <si>
    <t>Hotel</t>
  </si>
  <si>
    <t>Grocery</t>
  </si>
  <si>
    <t>Fitness Center</t>
  </si>
  <si>
    <t>TOTAL</t>
  </si>
  <si>
    <t>PHASE</t>
  </si>
  <si>
    <t>ALL</t>
  </si>
  <si>
    <t>PHASES</t>
  </si>
  <si>
    <t>PROPOSED BUILDING SUMMARY</t>
  </si>
  <si>
    <t>PROJECT TIMELINE</t>
  </si>
  <si>
    <t>RETURN ASSUMPTIONS</t>
  </si>
  <si>
    <t>Construction Phase</t>
  </si>
  <si>
    <t>Begin</t>
  </si>
  <si>
    <t>Months</t>
  </si>
  <si>
    <t>Complete</t>
  </si>
  <si>
    <t>Preconstruction</t>
  </si>
  <si>
    <t>Construction</t>
  </si>
  <si>
    <t>Lease-Up</t>
  </si>
  <si>
    <t>Refinance</t>
  </si>
  <si>
    <t>Construction Financing</t>
  </si>
  <si>
    <t>Loan to Cost</t>
  </si>
  <si>
    <t>Equity</t>
  </si>
  <si>
    <t>Senior Loan</t>
  </si>
  <si>
    <t>Mezzanine Loan</t>
  </si>
  <si>
    <t>Points &amp; Fees</t>
  </si>
  <si>
    <t>I/O</t>
  </si>
  <si>
    <t>Permanent Financing</t>
  </si>
  <si>
    <t>Loan to Value</t>
  </si>
  <si>
    <t>Resale</t>
  </si>
  <si>
    <t>Projected Resale Date</t>
  </si>
  <si>
    <t>Projected Hold (Years)</t>
  </si>
  <si>
    <t>DSCR</t>
  </si>
  <si>
    <t>Interest Rate/Preferred Return</t>
  </si>
  <si>
    <t>Amortization (Years)</t>
  </si>
  <si>
    <t>Loan Term (Years)</t>
  </si>
  <si>
    <t>Building Type</t>
  </si>
  <si>
    <t>Up to 6 Stories</t>
  </si>
  <si>
    <t>Up to 12 Stories</t>
  </si>
  <si>
    <t>13-39 Stories</t>
  </si>
  <si>
    <t>Low</t>
  </si>
  <si>
    <t>High</t>
  </si>
  <si>
    <t>Location Multiplier</t>
  </si>
  <si>
    <t>Adjusted Low</t>
  </si>
  <si>
    <t>Adjusted High</t>
  </si>
  <si>
    <t>Concluded</t>
  </si>
  <si>
    <t>PROJECTED COSTS PER SQUARE FOOT*</t>
  </si>
  <si>
    <t>Parking Garage - Underground</t>
  </si>
  <si>
    <t>Performing Arts Building</t>
  </si>
  <si>
    <t>* Per square foot cost estimates based on Altus 2018 Construction Cost Guide for Downtown Toronto</t>
  </si>
  <si>
    <t>Supermarket</t>
  </si>
  <si>
    <t>Enclosed Mall</t>
  </si>
  <si>
    <t>Strip Plaza</t>
  </si>
  <si>
    <t>Street Retail**</t>
  </si>
  <si>
    <t>FINANCING ASSUMPTIONS***</t>
  </si>
  <si>
    <t>*** Financing assumptions based on Fantini &amp; Gorga Surveys - February 2018</t>
  </si>
  <si>
    <t>** Street retail cost estimate based on strip plaza and enclosed mall cost estimates</t>
  </si>
  <si>
    <t>5-30 Stories (Class A)</t>
  </si>
  <si>
    <t>Add: Interior Fitout (Class A)</t>
  </si>
  <si>
    <t>Suite Hotel</t>
  </si>
  <si>
    <t>Add: Premium for Luxury</t>
  </si>
  <si>
    <t>Add: Premium for High Quality</t>
  </si>
  <si>
    <t>Other Buildings</t>
  </si>
  <si>
    <t>Site Servicing</t>
  </si>
  <si>
    <t>Type</t>
  </si>
  <si>
    <t>Arterial Roads - 12m Width (Per Meter)</t>
  </si>
  <si>
    <t>Utility Servicing (Per Commercial Acre)</t>
  </si>
  <si>
    <t>Building Efficiency</t>
  </si>
  <si>
    <t>Hotel Rooms</t>
  </si>
  <si>
    <t>Fitness Center Gross Floor Area (SF)</t>
  </si>
  <si>
    <t>PARKING PROVIDED</t>
  </si>
  <si>
    <t>Total Retail Gross Leasable Area (SF)</t>
  </si>
  <si>
    <t>Total Office Net Rentable Area (SF)</t>
  </si>
  <si>
    <t>Total Hotel Gross Floor Area (SF)</t>
  </si>
  <si>
    <t>Total Library Gross Floor Area (SF)</t>
  </si>
  <si>
    <t>Total Theater Gross Floor Area (SF)</t>
  </si>
  <si>
    <t>Total Fitness Center Gross Floor Area (SF)</t>
  </si>
  <si>
    <t>Residential Units in Standalone Condo Building</t>
  </si>
  <si>
    <t>Studio Units in All Other Residential Buildings</t>
  </si>
  <si>
    <t>1BR Units in All Other Residential Buildings</t>
  </si>
  <si>
    <t>2BR Units in All Other Residential Buildings</t>
  </si>
  <si>
    <t>3BR Units in All Other Residential Buildings</t>
  </si>
  <si>
    <t>Square</t>
  </si>
  <si>
    <t>Feet</t>
  </si>
  <si>
    <t>Unit</t>
  </si>
  <si>
    <t>Count</t>
  </si>
  <si>
    <t>Meters</t>
  </si>
  <si>
    <t>Spaces Per</t>
  </si>
  <si>
    <t>Provided</t>
  </si>
  <si>
    <t>Parking Spaces</t>
  </si>
  <si>
    <t>Spaces Per 100</t>
  </si>
  <si>
    <t>Square Meters</t>
  </si>
  <si>
    <t>Parking for Residential Units</t>
  </si>
  <si>
    <t>Space Use</t>
  </si>
  <si>
    <t>Total for Non-Residential Space</t>
  </si>
  <si>
    <t>Total for Residential Uses</t>
  </si>
  <si>
    <t>Total Parking Provided</t>
  </si>
  <si>
    <t>Additional Non-Required Parking Provided</t>
  </si>
  <si>
    <t>RESIDENTIAL APARTMENT UNIT MIX</t>
  </si>
  <si>
    <t>All Phases</t>
  </si>
  <si>
    <t>Phase</t>
  </si>
  <si>
    <t>MARKET RATE RENTS</t>
  </si>
  <si>
    <t>Average Unit Size</t>
  </si>
  <si>
    <t>Market Rent PSF</t>
  </si>
  <si>
    <t>Annual Market Rent</t>
  </si>
  <si>
    <t>Monthly Market Rent</t>
  </si>
  <si>
    <t>AFFORDABLE RENTS</t>
  </si>
  <si>
    <t>Maximum Monthly Rent</t>
  </si>
  <si>
    <t>Maximum Annual Rent</t>
  </si>
  <si>
    <t>Maximum Rent PSF</t>
  </si>
  <si>
    <t>Soft Costs</t>
  </si>
  <si>
    <t>Architecture &amp; Engineering Fees</t>
  </si>
  <si>
    <t>Other Soft Costs</t>
  </si>
  <si>
    <t>Contingency</t>
  </si>
  <si>
    <t>Capitalization Rates****</t>
  </si>
  <si>
    <t>Property Type</t>
  </si>
  <si>
    <t>Survey</t>
  </si>
  <si>
    <t>Exit Cap</t>
  </si>
  <si>
    <t>Load (BPS)</t>
  </si>
  <si>
    <t>Current Cap</t>
  </si>
  <si>
    <t>**** Survey rates taken from CBRE Canadian (Toronto) Cap Rates Survey 3Q2017</t>
  </si>
  <si>
    <t>Apartments</t>
  </si>
  <si>
    <t>High Rise A</t>
  </si>
  <si>
    <t>Low Rise A</t>
  </si>
  <si>
    <t>Neighbourhood</t>
  </si>
  <si>
    <t>Urban Streetfront</t>
  </si>
  <si>
    <t>High Street</t>
  </si>
  <si>
    <t>Downtown Office AA</t>
  </si>
  <si>
    <t>Downtown Office A</t>
  </si>
  <si>
    <t>Downtown Full Service</t>
  </si>
  <si>
    <t>Focused Service</t>
  </si>
  <si>
    <t>Cost of Sale</t>
  </si>
  <si>
    <t>Broker Fees &amp; Closing Costs</t>
  </si>
  <si>
    <t>INFLATION PROJECTIONS</t>
  </si>
  <si>
    <t>Rate</t>
  </si>
  <si>
    <t>Market Rent</t>
  </si>
  <si>
    <t>Operating Expenses</t>
  </si>
  <si>
    <t>Capital Expenditures</t>
  </si>
  <si>
    <t>Construction Costs</t>
  </si>
  <si>
    <t>AFFORDABLE UNITS PROVIDED</t>
  </si>
  <si>
    <t>Targeted Affordable % of Total Units</t>
  </si>
  <si>
    <t>Targeted Affordable Unit Mix</t>
  </si>
  <si>
    <t>Percentage</t>
  </si>
  <si>
    <t>Ownership</t>
  </si>
  <si>
    <t>RESIDENTIAL CONDO UNIT MIX</t>
  </si>
  <si>
    <t>Market Rate Condo Units</t>
  </si>
  <si>
    <t>Affordable Condo Units</t>
  </si>
  <si>
    <t>Price PSF</t>
  </si>
  <si>
    <t>Price Per Unit</t>
  </si>
  <si>
    <t>AFFORDABLE FUNDING</t>
  </si>
  <si>
    <t>Maximum %</t>
  </si>
  <si>
    <t>Maximum $ Amount</t>
  </si>
  <si>
    <t>MARKET RATE CONDO PRICES</t>
  </si>
  <si>
    <t>AFFORDABLE CONDO PRICES</t>
  </si>
  <si>
    <t>RETAIL UNIT MIX</t>
  </si>
  <si>
    <t>Space Type</t>
  </si>
  <si>
    <t>Market Rate Non-Anchor Space</t>
  </si>
  <si>
    <t>Affordable Non-Anchor Space</t>
  </si>
  <si>
    <t>AFFORDABLE RETAIL PROVIDED</t>
  </si>
  <si>
    <t>Targeted Affordable % of Retail Space</t>
  </si>
  <si>
    <t>Non-Anchor Space</t>
  </si>
  <si>
    <t>RETAIL MARKET RENTAL RATES</t>
  </si>
  <si>
    <t>Expense Basis</t>
  </si>
  <si>
    <t>NNN</t>
  </si>
  <si>
    <t>Weighted Avg.</t>
  </si>
  <si>
    <t>Affordability Reduction</t>
  </si>
  <si>
    <t>Annual</t>
  </si>
  <si>
    <t>Monthly</t>
  </si>
  <si>
    <t>OFFICE SPACE MIX</t>
  </si>
  <si>
    <t>Market Rate Office Space</t>
  </si>
  <si>
    <t>Affordable Office Space</t>
  </si>
  <si>
    <t>AFFORDABLE OFFICE PROVIDED</t>
  </si>
  <si>
    <t>Targeted Affordable % of Office Space</t>
  </si>
  <si>
    <t>OFFICE MARKET RENTAL RATES</t>
  </si>
  <si>
    <t>Market Base Rent PSF</t>
  </si>
  <si>
    <t>Additional Rent PSF</t>
  </si>
  <si>
    <t>FSG</t>
  </si>
  <si>
    <t>Expense</t>
  </si>
  <si>
    <t>Basis</t>
  </si>
  <si>
    <t>OTHER ASSUMPTIONS</t>
  </si>
  <si>
    <t>Vacancy</t>
  </si>
  <si>
    <t>Market Rate</t>
  </si>
  <si>
    <t>Affordable</t>
  </si>
  <si>
    <t>During Lease-Up</t>
  </si>
  <si>
    <t>Expenses/CapEx</t>
  </si>
  <si>
    <t>Expense Ratio</t>
  </si>
  <si>
    <t>Capital Reserve/Unit</t>
  </si>
  <si>
    <t>Sell Through</t>
  </si>
  <si>
    <t>Pre-Construction</t>
  </si>
  <si>
    <t>During Construction</t>
  </si>
  <si>
    <t>Selling Costs</t>
  </si>
  <si>
    <t>Non-Anchor During Lease-Up</t>
  </si>
  <si>
    <t>Capital Reserve PSF</t>
  </si>
  <si>
    <t>Expenses PSF</t>
  </si>
  <si>
    <t>All Office Space</t>
  </si>
  <si>
    <t>Office During Lease-Up</t>
  </si>
  <si>
    <t>HOTEL CONCEPT MIX</t>
  </si>
  <si>
    <t>Lifestyle Hotel</t>
  </si>
  <si>
    <t>Boutique Hotel</t>
  </si>
  <si>
    <t>PROJECTED ADR, OCCUPANCY &amp; REVPAR</t>
  </si>
  <si>
    <t>Hotel Concept</t>
  </si>
  <si>
    <t>Projected ADR</t>
  </si>
  <si>
    <t>Projected Occupancy</t>
  </si>
  <si>
    <t>Projected RevPAR</t>
  </si>
  <si>
    <t>% of Rooms Revenue</t>
  </si>
  <si>
    <t>Food &amp; Beverage</t>
  </si>
  <si>
    <t>Other Departments</t>
  </si>
  <si>
    <t>Revenue Type</t>
  </si>
  <si>
    <t>Profit Margins</t>
  </si>
  <si>
    <t>% of Department Revenue</t>
  </si>
  <si>
    <t>Rooms Expenses &amp; CapEx</t>
  </si>
  <si>
    <t>Per Available Room</t>
  </si>
  <si>
    <t>Capital Reserve</t>
  </si>
  <si>
    <t>Total Parking Provided - Phase I</t>
  </si>
  <si>
    <t>Total Parking Provided - Phase II</t>
  </si>
  <si>
    <t>Required</t>
  </si>
  <si>
    <t>Spaces Per Unit</t>
  </si>
  <si>
    <t>PARKING MONITIZATION</t>
  </si>
  <si>
    <t>RESIDENTIAL APARTMENT CASH FLOW</t>
  </si>
  <si>
    <t>Cash Flow Year</t>
  </si>
  <si>
    <t>Calendar Year</t>
  </si>
  <si>
    <t>Phase I Cash Flow</t>
  </si>
  <si>
    <t>Square Feet Complete</t>
  </si>
  <si>
    <t>New Square Feet</t>
  </si>
  <si>
    <t>Market Rate Units Complete</t>
  </si>
  <si>
    <t>Affordable Units Complete</t>
  </si>
  <si>
    <t>Phase II Cash Flow</t>
  </si>
  <si>
    <t>Phase III Cash Flow</t>
  </si>
  <si>
    <t>Potential Gross Revenue</t>
  </si>
  <si>
    <t>Total Potential Gross Revenue</t>
  </si>
  <si>
    <t>Less: Vacancy</t>
  </si>
  <si>
    <t>Market Rate Vacancy</t>
  </si>
  <si>
    <t>Affordable Vacancy</t>
  </si>
  <si>
    <t>Additional Lease-Up Vacancy</t>
  </si>
  <si>
    <t>Total Vacancy Loss</t>
  </si>
  <si>
    <t>Effective Gross Revenue</t>
  </si>
  <si>
    <t>Operating Pro Forma</t>
  </si>
  <si>
    <t>Total Operating Expenses</t>
  </si>
  <si>
    <t>Cash Flow From Operations</t>
  </si>
  <si>
    <t>Net Operating Income</t>
  </si>
  <si>
    <t>Hard Construction Costs</t>
  </si>
  <si>
    <t>A&amp;E Fees</t>
  </si>
  <si>
    <t>Total Construction Costs</t>
  </si>
  <si>
    <t>Property Resale</t>
  </si>
  <si>
    <t>Cash Flow Before Financing</t>
  </si>
  <si>
    <t>Resale Value</t>
  </si>
  <si>
    <t>Less: Selling Costs</t>
  </si>
  <si>
    <t>Net Reversion Value</t>
  </si>
  <si>
    <t>Affordable Housing Public Funding</t>
  </si>
  <si>
    <t>Unleveraged IRR</t>
  </si>
  <si>
    <t>RESIDENTIAL CONDO CASH FLOW</t>
  </si>
  <si>
    <t>Net Sell Through</t>
  </si>
  <si>
    <t>Affordable Rent</t>
  </si>
  <si>
    <t>Percent Sold</t>
  </si>
  <si>
    <t>Condo Presale Deposits</t>
  </si>
  <si>
    <t>Pre-Completion Deposit</t>
  </si>
  <si>
    <t>Condo Price Growth</t>
  </si>
  <si>
    <t>Remaining Payment Upon Completion</t>
  </si>
  <si>
    <t>Affordable Discount</t>
  </si>
  <si>
    <t>RETAIL CASH FLOW</t>
  </si>
  <si>
    <t>Space Type Complete</t>
  </si>
  <si>
    <t>Stabilized Vacancy</t>
  </si>
  <si>
    <t>Non-Anchor</t>
  </si>
  <si>
    <t>Anchor Vacancy</t>
  </si>
  <si>
    <t>Non-Anchor Vacancy</t>
  </si>
  <si>
    <t>Potential Base Rent Revenue</t>
  </si>
  <si>
    <t>Total Potential Base Rent</t>
  </si>
  <si>
    <t>Potential Expense Reimbursement Revenue</t>
  </si>
  <si>
    <t>Total Potential Expense Reimbursements</t>
  </si>
  <si>
    <t>Operating Expenses PSF</t>
  </si>
  <si>
    <t>OFFICE CASH FLOW</t>
  </si>
  <si>
    <t>HOTEL CASH FLOW</t>
  </si>
  <si>
    <t>Hotel Room Type Complete</t>
  </si>
  <si>
    <t>Rooms Revenue</t>
  </si>
  <si>
    <t>Days in Year</t>
  </si>
  <si>
    <t>Total Rooms Revenue</t>
  </si>
  <si>
    <t>ADR/Occupancy/RevPAR</t>
  </si>
  <si>
    <t>Average Daily Rate (ADR)</t>
  </si>
  <si>
    <t>Occupancy</t>
  </si>
  <si>
    <t>Revenue Per Available Room (RevPAR)</t>
  </si>
  <si>
    <t>Hotel ADR</t>
  </si>
  <si>
    <t>Food &amp; Beverage Revenue</t>
  </si>
  <si>
    <t>Total Food &amp; Beverage Revenue</t>
  </si>
  <si>
    <t>Other Departmental Revenue</t>
  </si>
  <si>
    <t>Total Projected Revenue</t>
  </si>
  <si>
    <t>Food &amp; Beverage Department</t>
  </si>
  <si>
    <t>Rooms Department &amp; Fixed Expenses</t>
  </si>
  <si>
    <t>Total Other Departmental Revenue</t>
  </si>
  <si>
    <t>Residential Condominium Units</t>
  </si>
  <si>
    <t>Total Condominium Units</t>
  </si>
  <si>
    <t>Percentage Buying Parking Space</t>
  </si>
  <si>
    <t>Price Per Parking Space</t>
  </si>
  <si>
    <t>Total Remaining Spaces</t>
  </si>
  <si>
    <t>Phase I Units</t>
  </si>
  <si>
    <t>Phase II Units</t>
  </si>
  <si>
    <t>Phase III Units</t>
  </si>
  <si>
    <t>Parking Revenue</t>
  </si>
  <si>
    <t>Phase I Spaces Remaining</t>
  </si>
  <si>
    <t>Phase II Spaces Remaining</t>
  </si>
  <si>
    <t>Phase III Spaces Remaining</t>
  </si>
  <si>
    <t>Parking Management Agreement Per Space</t>
  </si>
  <si>
    <t>PARKING CASH FLOW</t>
  </si>
  <si>
    <t>Residential Condo Units Completed</t>
  </si>
  <si>
    <t>Parking Agreement License Revenue</t>
  </si>
  <si>
    <t>Parking Spaces Completed</t>
  </si>
  <si>
    <t>Parking Space Sales</t>
  </si>
  <si>
    <t>Size</t>
  </si>
  <si>
    <t>Units</t>
  </si>
  <si>
    <t>Cost Per Unit</t>
  </si>
  <si>
    <t>Total Cost</t>
  </si>
  <si>
    <t>SITE WORK &amp; INFRANSTRUCTURE COSTS</t>
  </si>
  <si>
    <t>Work Type</t>
  </si>
  <si>
    <t>SF</t>
  </si>
  <si>
    <t>Elevated Park Construction</t>
  </si>
  <si>
    <t>Old Eastern Bridge Raise/Extension</t>
  </si>
  <si>
    <t>New Bridge to Corktown Commons</t>
  </si>
  <si>
    <t>Plaza East of Broadview</t>
  </si>
  <si>
    <t>Arcade East of Broadview</t>
  </si>
  <si>
    <t>Plaza West of Broadview</t>
  </si>
  <si>
    <t>Amphitheater &amp; Plaza</t>
  </si>
  <si>
    <t>Phase I Road Construction</t>
  </si>
  <si>
    <t>Phase II Road Construction</t>
  </si>
  <si>
    <t>LM</t>
  </si>
  <si>
    <t>Total Phase I Infrastructure</t>
  </si>
  <si>
    <t>Total Phase II Infrastructure</t>
  </si>
  <si>
    <t>Total Phase III Infrastructure</t>
  </si>
  <si>
    <t>Total Infrastructure</t>
  </si>
  <si>
    <t>Utility Servicing</t>
  </si>
  <si>
    <t>AC</t>
  </si>
  <si>
    <t>COMBINED CASH FLOW</t>
  </si>
  <si>
    <t>Cash Flow from Operations</t>
  </si>
  <si>
    <t>Residential Apartments</t>
  </si>
  <si>
    <t>Parking</t>
  </si>
  <si>
    <t>Total Cash Flow from Operations</t>
  </si>
  <si>
    <t>Residential Condos</t>
  </si>
  <si>
    <t>Infrastructure</t>
  </si>
  <si>
    <t>Total Combined CF Before Financing</t>
  </si>
  <si>
    <t>IRR</t>
  </si>
  <si>
    <t>Land Acquisition</t>
  </si>
  <si>
    <t>1. Summary Pro Forma</t>
  </si>
  <si>
    <t>Team</t>
  </si>
  <si>
    <t>Year 0</t>
  </si>
  <si>
    <t>2018-2019</t>
  </si>
  <si>
    <t xml:space="preserve">Net Operating Income </t>
  </si>
  <si>
    <t>Market-rate</t>
  </si>
  <si>
    <t>Rental Housing</t>
  </si>
  <si>
    <t>For-Sale Housing</t>
  </si>
  <si>
    <t>Workforce</t>
  </si>
  <si>
    <t>Office/Commercial</t>
  </si>
  <si>
    <t>Market-rate Retail</t>
  </si>
  <si>
    <t>Affordable Retail</t>
  </si>
  <si>
    <t>Structured Parking</t>
  </si>
  <si>
    <t>Surface Parking</t>
  </si>
  <si>
    <t>Underground Parking</t>
  </si>
  <si>
    <t>Demolition</t>
  </si>
  <si>
    <t>Remediation</t>
  </si>
  <si>
    <t>Development Fees</t>
  </si>
  <si>
    <t>Other</t>
  </si>
  <si>
    <t>Total Net Operating Income</t>
  </si>
  <si>
    <t>Income from Sales Proceeds</t>
  </si>
  <si>
    <t>Total Income</t>
  </si>
  <si>
    <t>Development Costs</t>
  </si>
  <si>
    <t>Retail (ALL)</t>
  </si>
  <si>
    <t>Indirect costs</t>
  </si>
  <si>
    <t>Total Development Costs</t>
  </si>
  <si>
    <t>Annual Cash Flow</t>
  </si>
  <si>
    <t>Total Costs of Sale</t>
  </si>
  <si>
    <t>Net Cash Flow</t>
  </si>
  <si>
    <t>Leveraged Net Cash Flow</t>
  </si>
  <si>
    <t>Debt Service</t>
  </si>
  <si>
    <t>Loan to Value Ratio (LVR)</t>
  </si>
  <si>
    <t>Unleveraged IRR Before Taxes</t>
  </si>
  <si>
    <t>Current Site Value (start of Year 0)</t>
  </si>
  <si>
    <t>Leveraged IRR Before Taxes</t>
  </si>
  <si>
    <t>Projected Site Value (end of Year 10)</t>
  </si>
  <si>
    <t>2. Multiyear Development Program</t>
  </si>
  <si>
    <t>Total Buildout</t>
  </si>
  <si>
    <t>Project Buildout by Development Units</t>
  </si>
  <si>
    <t>(units)</t>
  </si>
  <si>
    <t>(rooms)</t>
  </si>
  <si>
    <t>(spaces)</t>
  </si>
  <si>
    <t>Project Buildout by Area</t>
  </si>
  <si>
    <t>(s.f.)</t>
  </si>
  <si>
    <t>3. Unit Development and Infrastructure Costs</t>
  </si>
  <si>
    <t>4. Equity and Financing Sources</t>
  </si>
  <si>
    <t>Unit Cost</t>
  </si>
  <si>
    <t>Total Costs</t>
  </si>
  <si>
    <t>Amount</t>
  </si>
  <si>
    <t>Percent of Total</t>
  </si>
  <si>
    <t>($ per unit)</t>
  </si>
  <si>
    <t>Equity Sources (total)</t>
  </si>
  <si>
    <t>($ per s.f.)</t>
  </si>
  <si>
    <t>Financing Sources (total)</t>
  </si>
  <si>
    <t>($ per room)</t>
  </si>
  <si>
    <t>($ per space)</t>
  </si>
  <si>
    <t>Infrastructure Costs</t>
  </si>
  <si>
    <t>Public</t>
  </si>
  <si>
    <t>Private</t>
  </si>
  <si>
    <t>Roads</t>
  </si>
  <si>
    <t>Utilities</t>
  </si>
  <si>
    <t>Public Subsidies (total, if any)</t>
  </si>
  <si>
    <t>Other Hardscaping (not incl. surf. pkg.)</t>
  </si>
  <si>
    <t>Landscaping</t>
  </si>
  <si>
    <t>Other Amenities</t>
  </si>
  <si>
    <t>Acquisition Taxes and Fees</t>
  </si>
  <si>
    <t>Total Infrastructure Costs</t>
  </si>
  <si>
    <t>Grocery, Food Hall, Fitness</t>
  </si>
  <si>
    <t>Grocery/Food Hall/Fitness Anchors</t>
  </si>
  <si>
    <t>Demolition, Grading &amp; Remediation</t>
  </si>
  <si>
    <t>Net Property Resale</t>
  </si>
  <si>
    <t>Total Net Property Resale</t>
  </si>
  <si>
    <t>LAND ACQUISITION COST</t>
  </si>
  <si>
    <t>Size (SF)</t>
  </si>
  <si>
    <t>Size (AC)</t>
  </si>
  <si>
    <t>Total Price</t>
  </si>
  <si>
    <t>Total Land Acquisition</t>
  </si>
  <si>
    <t>Combined Cash Flow</t>
  </si>
  <si>
    <t>Condo Parking</t>
  </si>
  <si>
    <t>Sources</t>
  </si>
  <si>
    <t>Uses</t>
  </si>
  <si>
    <t>Mezzanine Debt</t>
  </si>
  <si>
    <t>Senior Debt</t>
  </si>
  <si>
    <t>Total Sources</t>
  </si>
  <si>
    <t>% of Total</t>
  </si>
  <si>
    <t>Financing Costs</t>
  </si>
  <si>
    <t>Total Uses</t>
  </si>
  <si>
    <t>Phase I Permanent Financing</t>
  </si>
  <si>
    <t>Phase I Construction &amp; Lease-Up Financing</t>
  </si>
  <si>
    <t>Required Debt/Equity Funding</t>
  </si>
  <si>
    <t>Equity Funding</t>
  </si>
  <si>
    <t>Mezzanine Loan Funding</t>
  </si>
  <si>
    <t>Senior Loan Funding</t>
  </si>
  <si>
    <t>Financing Fees &amp; Points</t>
  </si>
  <si>
    <t>Condo &amp; Parking Pre-Sales</t>
  </si>
  <si>
    <t>Beginning Balance</t>
  </si>
  <si>
    <t>Interest on Balance</t>
  </si>
  <si>
    <t>Loan Draws</t>
  </si>
  <si>
    <t>Ending Balance</t>
  </si>
  <si>
    <t>Repayment</t>
  </si>
  <si>
    <t>Cap Rate</t>
  </si>
  <si>
    <t>Value</t>
  </si>
  <si>
    <t>Stabilized</t>
  </si>
  <si>
    <t>Cash Flow</t>
  </si>
  <si>
    <t>Estimated</t>
  </si>
  <si>
    <t>Maximum Loan-to-Value</t>
  </si>
  <si>
    <t>Maximum Loan by LTV Test</t>
  </si>
  <si>
    <t>Condo &amp; Parking Sales After Completion</t>
  </si>
  <si>
    <t>Paydown from Condo &amp; Parking Sales</t>
  </si>
  <si>
    <t>Minimum DSCR</t>
  </si>
  <si>
    <t>Maximum Loan by DSCR Test</t>
  </si>
  <si>
    <t>Projected Permanent Loan Amount</t>
  </si>
  <si>
    <t>Projected Annual Debt Service</t>
  </si>
  <si>
    <t>Financing Points &amp; Fees</t>
  </si>
  <si>
    <t>Annual Debt Service</t>
  </si>
  <si>
    <t>Remaining Loan Balance at Date of Sale</t>
  </si>
  <si>
    <t>Repayment at Sale</t>
  </si>
  <si>
    <t>Loan Proceeds</t>
  </si>
  <si>
    <t>Cash Flow After Debt Financing (Equity CF)</t>
  </si>
  <si>
    <t>Equity Multiple</t>
  </si>
  <si>
    <t>Leveraged (Equity) IRR</t>
  </si>
  <si>
    <t>Phase II Construction &amp; Lease-Up Financing</t>
  </si>
  <si>
    <t>Phase II Permanent Financing</t>
  </si>
  <si>
    <t>Phase III Construction &amp; Lease-Up Financing</t>
  </si>
  <si>
    <t>Phase III Permanent Financing</t>
  </si>
  <si>
    <t>HIDE</t>
  </si>
  <si>
    <t>Reversion Year</t>
  </si>
  <si>
    <t>None</t>
  </si>
  <si>
    <t>SOURCES &amp; USES - PHASE I</t>
  </si>
  <si>
    <t>SOURCES &amp; USES - PHASE II</t>
  </si>
  <si>
    <t>SOURCES &amp; USES - PHASE III</t>
  </si>
  <si>
    <t>APARTMENT MARKET RATE RENTS</t>
  </si>
  <si>
    <t>APARTMENT AFFORDABLE RENTS</t>
  </si>
  <si>
    <t>Affordable Retail Space is included in Market Rate Retail Buildings and NOI is included in Total Retail NOI Above - Please See Retail Cash Flow for Breakdown</t>
  </si>
  <si>
    <t>Affordable Units are included in Market Rate Buildings and NOI is included in Total Rental Housing NOI Above - Please See Residential Rental Cash Flow for Breakdown</t>
  </si>
  <si>
    <t>Residential Condominium Sell-Through is included in Income from Sales Proceeds Below</t>
  </si>
  <si>
    <t>Affordable Units are included in Market Rate Buildings and Development Costs are included in Market Rate Rental Housing Development Costs Above</t>
  </si>
  <si>
    <t>Affordable Units are included in Market Rate Buildings and Development Costs are included in Market Rate For Sale Housing Development Costs Above</t>
  </si>
  <si>
    <t>Development Costs above reflect total development costs by property type including Indirect Costs</t>
  </si>
  <si>
    <t>Total Asset Value (Sale Proceeds)</t>
  </si>
  <si>
    <t>Net Present Value @ 15%</t>
  </si>
  <si>
    <t>Affordable retail unit count has not been calculated; see estimated affordable retail square feet below</t>
  </si>
  <si>
    <t>Affordable Rental Housing is included in Market Rate Buildings; Square footage is included in Market Rate Rental Housing Above</t>
  </si>
  <si>
    <t>Affordable For-Sale Housing is included in Market Rate Buildings; Square footage is included in Market Rate For-Sale Housing Above</t>
  </si>
  <si>
    <t>Affordable Retail Space is included in Market Rate Buildings; Square footage is included in Market Rate Retail Above</t>
  </si>
  <si>
    <t>Included in MR</t>
  </si>
  <si>
    <t>ToDon/Montage JV</t>
  </si>
  <si>
    <t>Condominium Pre-Sales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</si>
</sst>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\'"/>
    <numFmt numFmtId="166" formatCode="[$-409]mmm\-yy;@"/>
    <numFmt numFmtId="167" formatCode="&quot;$&quot;#,##0.00"/>
    <numFmt numFmtId="168" formatCode="&quot;$&quot;#,##0"/>
    <numFmt numFmtId="169" formatCode="0.0%"/>
    <numFmt numFmtId="170" formatCode="_(* #,##0_);_(* \(#,##0\);_(* &quot;-&quot;?_);_(@_)"/>
    <numFmt numFmtId="171" formatCode="0.00\x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271BC9"/>
      <name val="Calibri"/>
      <family val="2"/>
      <scheme val="minor"/>
    </font>
    <font>
      <sz val="9"/>
      <name val="Calibri"/>
      <family val="2"/>
      <scheme val="minor"/>
    </font>
    <font>
      <u val="singleAccounting"/>
      <sz val="9"/>
      <color rgb="FF271BC9"/>
      <name val="Calibri"/>
      <family val="2"/>
      <scheme val="minor"/>
    </font>
    <font>
      <u/>
      <sz val="9"/>
      <color rgb="FF271BC9"/>
      <name val="Calibri"/>
      <family val="2"/>
      <scheme val="minor"/>
    </font>
    <font>
      <b/>
      <sz val="9"/>
      <color rgb="FF271BC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2F648C"/>
        <bgColor indexed="64"/>
      </patternFill>
    </fill>
    <fill>
      <patternFill patternType="solid">
        <fgColor rgb="FF8CBAB3"/>
        <bgColor indexed="64"/>
      </patternFill>
    </fill>
    <fill>
      <patternFill patternType="solid">
        <fgColor rgb="FFCCCB87"/>
        <bgColor indexed="64"/>
      </patternFill>
    </fill>
    <fill>
      <patternFill patternType="solid">
        <fgColor rgb="FFDEAF7B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7" fillId="0" borderId="0"/>
  </cellStyleXfs>
  <cellXfs count="68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3" xfId="0" applyFont="1" applyBorder="1"/>
    <xf numFmtId="0" fontId="2" fillId="0" borderId="12" xfId="0" applyFont="1" applyBorder="1" applyAlignment="1">
      <alignment horizontal="right"/>
    </xf>
    <xf numFmtId="0" fontId="2" fillId="0" borderId="11" xfId="0" applyFont="1" applyBorder="1"/>
    <xf numFmtId="0" fontId="2" fillId="0" borderId="9" xfId="0" applyFont="1" applyBorder="1" applyAlignment="1"/>
    <xf numFmtId="0" fontId="2" fillId="0" borderId="15" xfId="0" applyFont="1" applyBorder="1"/>
    <xf numFmtId="0" fontId="2" fillId="0" borderId="7" xfId="0" applyFont="1" applyBorder="1"/>
    <xf numFmtId="0" fontId="2" fillId="0" borderId="14" xfId="0" applyFont="1" applyBorder="1"/>
    <xf numFmtId="164" fontId="2" fillId="0" borderId="0" xfId="1" applyNumberFormat="1" applyFont="1" applyBorder="1" applyAlignment="1"/>
    <xf numFmtId="0" fontId="2" fillId="0" borderId="0" xfId="0" applyFont="1" applyBorder="1"/>
    <xf numFmtId="0" fontId="2" fillId="0" borderId="12" xfId="0" applyFont="1" applyBorder="1"/>
    <xf numFmtId="43" fontId="2" fillId="0" borderId="10" xfId="1" applyFont="1" applyBorder="1" applyAlignment="1"/>
    <xf numFmtId="0" fontId="2" fillId="0" borderId="10" xfId="0" applyFont="1" applyBorder="1"/>
    <xf numFmtId="0" fontId="2" fillId="0" borderId="9" xfId="0" applyFont="1" applyBorder="1"/>
    <xf numFmtId="43" fontId="2" fillId="0" borderId="0" xfId="1" applyFont="1" applyBorder="1" applyAlignment="1"/>
    <xf numFmtId="0" fontId="2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164" fontId="8" fillId="0" borderId="5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8" fillId="0" borderId="4" xfId="1" applyNumberFormat="1" applyFont="1" applyFill="1" applyBorder="1" applyAlignment="1">
      <alignment horizontal="right"/>
    </xf>
    <xf numFmtId="164" fontId="2" fillId="0" borderId="7" xfId="1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164" fontId="4" fillId="0" borderId="6" xfId="1" applyNumberFormat="1" applyFont="1" applyFill="1" applyBorder="1" applyAlignment="1">
      <alignment horizontal="right"/>
    </xf>
    <xf numFmtId="0" fontId="2" fillId="0" borderId="2" xfId="0" applyFont="1" applyBorder="1"/>
    <xf numFmtId="0" fontId="9" fillId="0" borderId="13" xfId="0" applyFont="1" applyBorder="1"/>
    <xf numFmtId="0" fontId="2" fillId="0" borderId="0" xfId="0" applyFont="1" applyBorder="1" applyAlignment="1"/>
    <xf numFmtId="0" fontId="2" fillId="0" borderId="5" xfId="0" applyFont="1" applyBorder="1"/>
    <xf numFmtId="0" fontId="10" fillId="0" borderId="13" xfId="0" applyFont="1" applyBorder="1"/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22" xfId="1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0" borderId="21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4" fontId="4" fillId="0" borderId="12" xfId="1" applyNumberFormat="1" applyFont="1" applyFill="1" applyBorder="1" applyAlignment="1">
      <alignment horizontal="right"/>
    </xf>
    <xf numFmtId="164" fontId="8" fillId="0" borderId="12" xfId="1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64" fontId="4" fillId="0" borderId="14" xfId="1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left"/>
    </xf>
    <xf numFmtId="166" fontId="2" fillId="0" borderId="0" xfId="1" applyNumberFormat="1" applyFont="1" applyBorder="1" applyAlignment="1">
      <alignment horizontal="right"/>
    </xf>
    <xf numFmtId="166" fontId="2" fillId="0" borderId="12" xfId="1" applyNumberFormat="1" applyFont="1" applyBorder="1" applyAlignment="1">
      <alignment horizontal="right"/>
    </xf>
    <xf numFmtId="166" fontId="2" fillId="0" borderId="10" xfId="1" applyNumberFormat="1" applyFont="1" applyBorder="1" applyAlignment="1">
      <alignment horizontal="right"/>
    </xf>
    <xf numFmtId="166" fontId="11" fillId="0" borderId="0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9" fontId="2" fillId="0" borderId="0" xfId="2" applyFont="1" applyBorder="1" applyAlignment="1">
      <alignment horizontal="right"/>
    </xf>
    <xf numFmtId="0" fontId="2" fillId="0" borderId="12" xfId="0" applyFont="1" applyBorder="1" applyAlignment="1"/>
    <xf numFmtId="9" fontId="2" fillId="0" borderId="12" xfId="2" applyFont="1" applyBorder="1" applyAlignment="1">
      <alignment horizontal="right"/>
    </xf>
    <xf numFmtId="9" fontId="11" fillId="0" borderId="12" xfId="2" applyFont="1" applyBorder="1" applyAlignment="1">
      <alignment horizontal="right"/>
    </xf>
    <xf numFmtId="9" fontId="12" fillId="0" borderId="22" xfId="2" applyFont="1" applyBorder="1" applyAlignment="1">
      <alignment horizontal="right"/>
    </xf>
    <xf numFmtId="164" fontId="11" fillId="0" borderId="12" xfId="1" applyNumberFormat="1" applyFont="1" applyBorder="1" applyAlignment="1">
      <alignment horizontal="right"/>
    </xf>
    <xf numFmtId="10" fontId="11" fillId="0" borderId="12" xfId="2" applyNumberFormat="1" applyFont="1" applyBorder="1" applyAlignment="1">
      <alignment horizontal="right"/>
    </xf>
    <xf numFmtId="9" fontId="11" fillId="0" borderId="0" xfId="2" applyFont="1" applyBorder="1" applyAlignment="1">
      <alignment horizontal="right"/>
    </xf>
    <xf numFmtId="9" fontId="12" fillId="0" borderId="0" xfId="2" applyFont="1" applyBorder="1" applyAlignment="1">
      <alignment horizontal="right"/>
    </xf>
    <xf numFmtId="10" fontId="11" fillId="0" borderId="0" xfId="2" applyNumberFormat="1" applyFont="1" applyBorder="1" applyAlignment="1">
      <alignment horizontal="right"/>
    </xf>
    <xf numFmtId="9" fontId="12" fillId="0" borderId="2" xfId="2" applyFont="1" applyBorder="1" applyAlignment="1">
      <alignment horizontal="right"/>
    </xf>
    <xf numFmtId="43" fontId="11" fillId="0" borderId="12" xfId="1" applyFont="1" applyBorder="1" applyAlignment="1">
      <alignment horizontal="right"/>
    </xf>
    <xf numFmtId="43" fontId="11" fillId="0" borderId="0" xfId="1" applyFont="1" applyBorder="1" applyAlignment="1">
      <alignment horizontal="right"/>
    </xf>
    <xf numFmtId="0" fontId="9" fillId="0" borderId="8" xfId="0" applyFont="1" applyBorder="1"/>
    <xf numFmtId="0" fontId="10" fillId="0" borderId="5" xfId="0" applyFont="1" applyBorder="1"/>
    <xf numFmtId="0" fontId="2" fillId="0" borderId="8" xfId="0" applyFont="1" applyBorder="1" applyAlignment="1"/>
    <xf numFmtId="0" fontId="2" fillId="0" borderId="6" xfId="0" applyFont="1" applyBorder="1"/>
    <xf numFmtId="0" fontId="10" fillId="0" borderId="4" xfId="0" applyFont="1" applyBorder="1" applyAlignment="1">
      <alignment horizontal="right"/>
    </xf>
    <xf numFmtId="167" fontId="2" fillId="0" borderId="5" xfId="1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11" fillId="0" borderId="5" xfId="1" applyNumberFormat="1" applyFont="1" applyBorder="1" applyAlignment="1">
      <alignment horizontal="right"/>
    </xf>
    <xf numFmtId="167" fontId="11" fillId="0" borderId="4" xfId="1" applyNumberFormat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12" fillId="0" borderId="0" xfId="1" applyFont="1" applyBorder="1" applyAlignment="1">
      <alignment horizontal="right"/>
    </xf>
    <xf numFmtId="0" fontId="2" fillId="0" borderId="29" xfId="0" applyFont="1" applyBorder="1"/>
    <xf numFmtId="0" fontId="10" fillId="0" borderId="28" xfId="0" applyFont="1" applyBorder="1" applyAlignment="1">
      <alignment horizontal="right"/>
    </xf>
    <xf numFmtId="167" fontId="11" fillId="0" borderId="28" xfId="1" applyNumberFormat="1" applyFont="1" applyBorder="1" applyAlignment="1">
      <alignment horizontal="right"/>
    </xf>
    <xf numFmtId="167" fontId="2" fillId="0" borderId="28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indent="2"/>
    </xf>
    <xf numFmtId="168" fontId="11" fillId="0" borderId="5" xfId="1" applyNumberFormat="1" applyFont="1" applyBorder="1" applyAlignment="1">
      <alignment horizontal="right"/>
    </xf>
    <xf numFmtId="168" fontId="11" fillId="0" borderId="4" xfId="1" applyNumberFormat="1" applyFont="1" applyBorder="1" applyAlignment="1">
      <alignment horizontal="right"/>
    </xf>
    <xf numFmtId="168" fontId="2" fillId="0" borderId="5" xfId="1" applyNumberFormat="1" applyFont="1" applyBorder="1" applyAlignment="1">
      <alignment horizontal="right"/>
    </xf>
    <xf numFmtId="168" fontId="2" fillId="0" borderId="0" xfId="1" applyNumberFormat="1" applyFont="1" applyBorder="1" applyAlignment="1">
      <alignment horizontal="right"/>
    </xf>
    <xf numFmtId="168" fontId="11" fillId="0" borderId="28" xfId="1" applyNumberFormat="1" applyFont="1" applyBorder="1" applyAlignment="1">
      <alignment horizontal="right"/>
    </xf>
    <xf numFmtId="169" fontId="2" fillId="0" borderId="2" xfId="2" applyNumberFormat="1" applyFont="1" applyBorder="1"/>
    <xf numFmtId="169" fontId="4" fillId="0" borderId="3" xfId="2" applyNumberFormat="1" applyFont="1" applyBorder="1"/>
    <xf numFmtId="169" fontId="4" fillId="0" borderId="2" xfId="2" applyNumberFormat="1" applyFont="1" applyBorder="1"/>
    <xf numFmtId="169" fontId="4" fillId="0" borderId="1" xfId="2" applyNumberFormat="1" applyFont="1" applyBorder="1"/>
    <xf numFmtId="169" fontId="4" fillId="0" borderId="22" xfId="2" applyNumberFormat="1" applyFont="1" applyBorder="1"/>
    <xf numFmtId="0" fontId="9" fillId="0" borderId="11" xfId="0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0" borderId="22" xfId="1" applyNumberFormat="1" applyFont="1" applyFill="1" applyBorder="1" applyAlignment="1">
      <alignment horizontal="right"/>
    </xf>
    <xf numFmtId="164" fontId="2" fillId="0" borderId="0" xfId="0" applyNumberFormat="1" applyFont="1"/>
    <xf numFmtId="164" fontId="4" fillId="0" borderId="31" xfId="1" applyNumberFormat="1" applyFont="1" applyFill="1" applyBorder="1" applyAlignment="1">
      <alignment horizontal="right"/>
    </xf>
    <xf numFmtId="164" fontId="4" fillId="0" borderId="32" xfId="1" applyNumberFormat="1" applyFont="1" applyFill="1" applyBorder="1" applyAlignment="1">
      <alignment horizontal="right"/>
    </xf>
    <xf numFmtId="164" fontId="4" fillId="0" borderId="33" xfId="1" applyNumberFormat="1" applyFont="1" applyFill="1" applyBorder="1" applyAlignment="1">
      <alignment horizontal="right"/>
    </xf>
    <xf numFmtId="43" fontId="2" fillId="0" borderId="12" xfId="1" applyNumberFormat="1" applyFont="1" applyBorder="1" applyAlignment="1">
      <alignment horizontal="right"/>
    </xf>
    <xf numFmtId="43" fontId="2" fillId="0" borderId="22" xfId="1" applyNumberFormat="1" applyFont="1" applyBorder="1" applyAlignment="1">
      <alignment horizontal="right"/>
    </xf>
    <xf numFmtId="164" fontId="10" fillId="0" borderId="0" xfId="1" applyNumberFormat="1" applyFont="1" applyBorder="1" applyAlignment="1">
      <alignment horizontal="right"/>
    </xf>
    <xf numFmtId="43" fontId="10" fillId="0" borderId="12" xfId="1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4" xfId="0" applyFont="1" applyBorder="1"/>
    <xf numFmtId="0" fontId="2" fillId="0" borderId="35" xfId="0" applyFont="1" applyBorder="1"/>
    <xf numFmtId="0" fontId="2" fillId="0" borderId="30" xfId="0" applyFont="1" applyBorder="1"/>
    <xf numFmtId="164" fontId="2" fillId="0" borderId="30" xfId="1" applyNumberFormat="1" applyFont="1" applyBorder="1" applyAlignment="1">
      <alignment horizontal="right"/>
    </xf>
    <xf numFmtId="43" fontId="2" fillId="0" borderId="36" xfId="1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9" fillId="0" borderId="37" xfId="0" applyFont="1" applyBorder="1"/>
    <xf numFmtId="164" fontId="9" fillId="0" borderId="32" xfId="1" applyNumberFormat="1" applyFont="1" applyBorder="1" applyAlignment="1">
      <alignment horizontal="right"/>
    </xf>
    <xf numFmtId="43" fontId="9" fillId="0" borderId="34" xfId="1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34" xfId="0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167" fontId="11" fillId="0" borderId="0" xfId="1" applyNumberFormat="1" applyFont="1" applyBorder="1" applyAlignment="1">
      <alignment horizontal="right"/>
    </xf>
    <xf numFmtId="167" fontId="11" fillId="0" borderId="10" xfId="1" applyNumberFormat="1" applyFont="1" applyBorder="1" applyAlignment="1">
      <alignment horizontal="right"/>
    </xf>
    <xf numFmtId="167" fontId="2" fillId="0" borderId="10" xfId="1" applyNumberFormat="1" applyFont="1" applyBorder="1" applyAlignment="1">
      <alignment horizontal="right"/>
    </xf>
    <xf numFmtId="168" fontId="2" fillId="0" borderId="12" xfId="1" applyNumberFormat="1" applyFont="1" applyBorder="1" applyAlignment="1">
      <alignment horizontal="right"/>
    </xf>
    <xf numFmtId="168" fontId="2" fillId="0" borderId="10" xfId="1" applyNumberFormat="1" applyFont="1" applyBorder="1" applyAlignment="1">
      <alignment horizontal="right"/>
    </xf>
    <xf numFmtId="168" fontId="2" fillId="0" borderId="9" xfId="1" applyNumberFormat="1" applyFont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11" fillId="0" borderId="10" xfId="1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9" xfId="0" applyFont="1" applyBorder="1" applyAlignment="1"/>
    <xf numFmtId="168" fontId="11" fillId="0" borderId="0" xfId="1" applyNumberFormat="1" applyFont="1" applyBorder="1" applyAlignment="1">
      <alignment horizontal="right"/>
    </xf>
    <xf numFmtId="168" fontId="11" fillId="0" borderId="12" xfId="1" applyNumberFormat="1" applyFont="1" applyBorder="1" applyAlignment="1">
      <alignment horizontal="right"/>
    </xf>
    <xf numFmtId="168" fontId="11" fillId="0" borderId="3" xfId="1" applyNumberFormat="1" applyFont="1" applyBorder="1" applyAlignment="1">
      <alignment horizontal="right"/>
    </xf>
    <xf numFmtId="168" fontId="11" fillId="0" borderId="1" xfId="1" applyNumberFormat="1" applyFont="1" applyBorder="1" applyAlignment="1">
      <alignment horizontal="right"/>
    </xf>
    <xf numFmtId="43" fontId="12" fillId="0" borderId="2" xfId="1" applyFont="1" applyBorder="1" applyAlignment="1">
      <alignment horizontal="right"/>
    </xf>
    <xf numFmtId="168" fontId="2" fillId="0" borderId="3" xfId="1" applyNumberFormat="1" applyFont="1" applyBorder="1" applyAlignment="1">
      <alignment horizontal="right"/>
    </xf>
    <xf numFmtId="168" fontId="2" fillId="0" borderId="2" xfId="1" applyNumberFormat="1" applyFont="1" applyBorder="1" applyAlignment="1">
      <alignment horizontal="right"/>
    </xf>
    <xf numFmtId="168" fontId="11" fillId="0" borderId="38" xfId="1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43" fontId="2" fillId="0" borderId="7" xfId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8" fontId="11" fillId="0" borderId="10" xfId="1" applyNumberFormat="1" applyFont="1" applyBorder="1" applyAlignment="1">
      <alignment horizontal="right"/>
    </xf>
    <xf numFmtId="43" fontId="12" fillId="0" borderId="10" xfId="1" applyFont="1" applyBorder="1" applyAlignment="1">
      <alignment horizontal="right"/>
    </xf>
    <xf numFmtId="168" fontId="11" fillId="0" borderId="9" xfId="1" applyNumberFormat="1" applyFont="1" applyBorder="1" applyAlignment="1">
      <alignment horizontal="right"/>
    </xf>
    <xf numFmtId="0" fontId="9" fillId="0" borderId="15" xfId="0" applyFont="1" applyBorder="1"/>
    <xf numFmtId="169" fontId="11" fillId="0" borderId="0" xfId="2" applyNumberFormat="1" applyFont="1" applyBorder="1" applyAlignment="1">
      <alignment horizontal="right"/>
    </xf>
    <xf numFmtId="169" fontId="11" fillId="0" borderId="10" xfId="2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0" fontId="2" fillId="0" borderId="12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10" fontId="14" fillId="0" borderId="0" xfId="2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0" fontId="11" fillId="0" borderId="5" xfId="2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0" fontId="11" fillId="0" borderId="4" xfId="2" applyNumberFormat="1" applyFont="1" applyBorder="1" applyAlignment="1">
      <alignment horizontal="center"/>
    </xf>
    <xf numFmtId="1" fontId="11" fillId="0" borderId="0" xfId="2" applyNumberFormat="1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2" fillId="0" borderId="24" xfId="0" applyFont="1" applyBorder="1" applyAlignment="1">
      <alignment horizontal="left" indent="2"/>
    </xf>
    <xf numFmtId="10" fontId="11" fillId="0" borderId="3" xfId="2" applyNumberFormat="1" applyFont="1" applyBorder="1" applyAlignment="1">
      <alignment horizontal="center"/>
    </xf>
    <xf numFmtId="10" fontId="11" fillId="0" borderId="1" xfId="2" applyNumberFormat="1" applyFont="1" applyBorder="1" applyAlignment="1">
      <alignment horizontal="center"/>
    </xf>
    <xf numFmtId="10" fontId="11" fillId="0" borderId="2" xfId="2" applyNumberFormat="1" applyFont="1" applyBorder="1" applyAlignment="1">
      <alignment horizontal="center"/>
    </xf>
    <xf numFmtId="1" fontId="11" fillId="0" borderId="2" xfId="2" applyNumberFormat="1" applyFont="1" applyBorder="1" applyAlignment="1">
      <alignment horizontal="center"/>
    </xf>
    <xf numFmtId="10" fontId="2" fillId="0" borderId="22" xfId="2" applyNumberFormat="1" applyFont="1" applyBorder="1" applyAlignment="1">
      <alignment horizontal="center"/>
    </xf>
    <xf numFmtId="0" fontId="2" fillId="0" borderId="3" xfId="0" applyFont="1" applyBorder="1"/>
    <xf numFmtId="164" fontId="11" fillId="0" borderId="22" xfId="1" applyNumberFormat="1" applyFont="1" applyBorder="1" applyAlignment="1">
      <alignment horizontal="right"/>
    </xf>
    <xf numFmtId="9" fontId="2" fillId="0" borderId="0" xfId="2" applyFont="1" applyBorder="1"/>
    <xf numFmtId="169" fontId="2" fillId="0" borderId="0" xfId="2" applyNumberFormat="1" applyFont="1" applyBorder="1"/>
    <xf numFmtId="9" fontId="11" fillId="0" borderId="9" xfId="2" applyFont="1" applyBorder="1" applyAlignment="1">
      <alignment horizontal="right"/>
    </xf>
    <xf numFmtId="169" fontId="11" fillId="0" borderId="12" xfId="2" applyNumberFormat="1" applyFont="1" applyBorder="1" applyAlignment="1">
      <alignment horizontal="right"/>
    </xf>
    <xf numFmtId="169" fontId="11" fillId="0" borderId="9" xfId="2" applyNumberFormat="1" applyFont="1" applyBorder="1" applyAlignment="1">
      <alignment horizontal="right"/>
    </xf>
    <xf numFmtId="167" fontId="11" fillId="0" borderId="12" xfId="2" applyNumberFormat="1" applyFont="1" applyBorder="1" applyAlignment="1">
      <alignment horizontal="right"/>
    </xf>
    <xf numFmtId="168" fontId="11" fillId="0" borderId="12" xfId="2" applyNumberFormat="1" applyFont="1" applyBorder="1" applyAlignment="1">
      <alignment horizontal="right"/>
    </xf>
    <xf numFmtId="168" fontId="11" fillId="0" borderId="9" xfId="2" applyNumberFormat="1" applyFont="1" applyBorder="1" applyAlignment="1">
      <alignment horizontal="right"/>
    </xf>
    <xf numFmtId="168" fontId="2" fillId="0" borderId="12" xfId="1" applyNumberFormat="1" applyFont="1" applyBorder="1" applyAlignment="1">
      <alignment horizontal="center"/>
    </xf>
    <xf numFmtId="168" fontId="2" fillId="0" borderId="9" xfId="1" applyNumberFormat="1" applyFont="1" applyBorder="1" applyAlignment="1">
      <alignment horizontal="center"/>
    </xf>
    <xf numFmtId="168" fontId="2" fillId="0" borderId="22" xfId="1" applyNumberFormat="1" applyFont="1" applyBorder="1" applyAlignment="1">
      <alignment horizontal="center"/>
    </xf>
    <xf numFmtId="168" fontId="12" fillId="0" borderId="0" xfId="1" applyNumberFormat="1" applyFont="1" applyBorder="1" applyAlignment="1">
      <alignment horizontal="right"/>
    </xf>
    <xf numFmtId="168" fontId="12" fillId="0" borderId="10" xfId="1" applyNumberFormat="1" applyFont="1" applyBorder="1" applyAlignment="1">
      <alignment horizontal="right"/>
    </xf>
    <xf numFmtId="9" fontId="11" fillId="0" borderId="22" xfId="2" applyFont="1" applyBorder="1" applyAlignment="1">
      <alignment horizontal="right"/>
    </xf>
    <xf numFmtId="167" fontId="11" fillId="0" borderId="5" xfId="1" applyNumberFormat="1" applyFont="1" applyBorder="1" applyAlignment="1">
      <alignment horizontal="center"/>
    </xf>
    <xf numFmtId="167" fontId="12" fillId="0" borderId="4" xfId="1" applyNumberFormat="1" applyFont="1" applyBorder="1" applyAlignment="1">
      <alignment horizontal="center"/>
    </xf>
    <xf numFmtId="167" fontId="11" fillId="0" borderId="3" xfId="1" applyNumberFormat="1" applyFont="1" applyBorder="1" applyAlignment="1">
      <alignment horizontal="center"/>
    </xf>
    <xf numFmtId="167" fontId="12" fillId="0" borderId="1" xfId="1" applyNumberFormat="1" applyFont="1" applyBorder="1" applyAlignment="1">
      <alignment horizontal="center"/>
    </xf>
    <xf numFmtId="167" fontId="11" fillId="0" borderId="21" xfId="1" applyNumberFormat="1" applyFont="1" applyBorder="1" applyAlignment="1">
      <alignment horizontal="center"/>
    </xf>
    <xf numFmtId="167" fontId="12" fillId="0" borderId="39" xfId="1" applyNumberFormat="1" applyFont="1" applyBorder="1" applyAlignment="1">
      <alignment horizontal="center"/>
    </xf>
    <xf numFmtId="167" fontId="12" fillId="0" borderId="21" xfId="1" applyNumberFormat="1" applyFont="1" applyBorder="1" applyAlignment="1">
      <alignment horizontal="center"/>
    </xf>
    <xf numFmtId="167" fontId="12" fillId="0" borderId="3" xfId="1" applyNumberFormat="1" applyFont="1" applyBorder="1" applyAlignment="1">
      <alignment horizontal="center"/>
    </xf>
    <xf numFmtId="167" fontId="11" fillId="0" borderId="9" xfId="2" applyNumberFormat="1" applyFont="1" applyBorder="1" applyAlignment="1">
      <alignment horizontal="right"/>
    </xf>
    <xf numFmtId="10" fontId="11" fillId="0" borderId="9" xfId="2" applyNumberFormat="1" applyFont="1" applyBorder="1" applyAlignment="1">
      <alignment horizontal="right"/>
    </xf>
    <xf numFmtId="167" fontId="2" fillId="0" borderId="12" xfId="1" applyNumberFormat="1" applyFont="1" applyBorder="1" applyAlignment="1">
      <alignment horizontal="right"/>
    </xf>
    <xf numFmtId="167" fontId="2" fillId="0" borderId="9" xfId="1" applyNumberFormat="1" applyFont="1" applyBorder="1" applyAlignment="1">
      <alignment horizontal="right"/>
    </xf>
    <xf numFmtId="0" fontId="9" fillId="0" borderId="25" xfId="0" applyFont="1" applyBorder="1"/>
    <xf numFmtId="164" fontId="9" fillId="0" borderId="26" xfId="1" applyNumberFormat="1" applyFont="1" applyBorder="1" applyAlignment="1">
      <alignment horizontal="right"/>
    </xf>
    <xf numFmtId="43" fontId="9" fillId="0" borderId="27" xfId="1" applyNumberFormat="1" applyFont="1" applyBorder="1" applyAlignment="1">
      <alignment horizontal="right"/>
    </xf>
    <xf numFmtId="167" fontId="2" fillId="0" borderId="0" xfId="0" applyNumberFormat="1" applyFont="1"/>
    <xf numFmtId="168" fontId="2" fillId="0" borderId="2" xfId="0" applyNumberFormat="1" applyFont="1" applyBorder="1"/>
    <xf numFmtId="168" fontId="2" fillId="0" borderId="30" xfId="0" applyNumberFormat="1" applyFont="1" applyBorder="1"/>
    <xf numFmtId="168" fontId="2" fillId="0" borderId="0" xfId="0" applyNumberFormat="1" applyFont="1" applyBorder="1"/>
    <xf numFmtId="0" fontId="6" fillId="0" borderId="13" xfId="0" applyFont="1" applyBorder="1"/>
    <xf numFmtId="164" fontId="2" fillId="0" borderId="0" xfId="1" applyNumberFormat="1" applyFont="1" applyBorder="1"/>
    <xf numFmtId="164" fontId="2" fillId="0" borderId="12" xfId="1" applyNumberFormat="1" applyFont="1" applyBorder="1"/>
    <xf numFmtId="0" fontId="2" fillId="0" borderId="13" xfId="0" applyFont="1" applyBorder="1" applyAlignment="1">
      <alignment horizontal="left" indent="1"/>
    </xf>
    <xf numFmtId="168" fontId="2" fillId="0" borderId="12" xfId="0" applyNumberFormat="1" applyFont="1" applyBorder="1"/>
    <xf numFmtId="168" fontId="2" fillId="0" borderId="22" xfId="0" applyNumberFormat="1" applyFont="1" applyBorder="1"/>
    <xf numFmtId="168" fontId="2" fillId="0" borderId="36" xfId="0" applyNumberFormat="1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19" xfId="0" applyFont="1" applyBorder="1"/>
    <xf numFmtId="9" fontId="2" fillId="0" borderId="12" xfId="2" applyFont="1" applyBorder="1"/>
    <xf numFmtId="10" fontId="2" fillId="0" borderId="0" xfId="0" applyNumberFormat="1" applyFont="1" applyBorder="1"/>
    <xf numFmtId="168" fontId="2" fillId="0" borderId="14" xfId="0" applyNumberFormat="1" applyFont="1" applyBorder="1"/>
    <xf numFmtId="9" fontId="11" fillId="0" borderId="9" xfId="2" applyFont="1" applyBorder="1"/>
    <xf numFmtId="167" fontId="2" fillId="0" borderId="0" xfId="1" applyNumberFormat="1" applyFont="1" applyBorder="1"/>
    <xf numFmtId="167" fontId="2" fillId="0" borderId="12" xfId="1" applyNumberFormat="1" applyFont="1" applyBorder="1"/>
    <xf numFmtId="169" fontId="2" fillId="0" borderId="12" xfId="2" applyNumberFormat="1" applyFont="1" applyBorder="1"/>
    <xf numFmtId="164" fontId="11" fillId="0" borderId="2" xfId="1" applyNumberFormat="1" applyFont="1" applyBorder="1" applyAlignment="1">
      <alignment horizontal="right"/>
    </xf>
    <xf numFmtId="170" fontId="11" fillId="0" borderId="0" xfId="0" applyNumberFormat="1" applyFont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5" fillId="0" borderId="32" xfId="0" applyNumberFormat="1" applyFont="1" applyBorder="1" applyAlignment="1">
      <alignment horizontal="right"/>
    </xf>
    <xf numFmtId="43" fontId="2" fillId="0" borderId="0" xfId="0" applyNumberFormat="1" applyFont="1"/>
    <xf numFmtId="164" fontId="2" fillId="0" borderId="12" xfId="1" applyNumberFormat="1" applyFont="1" applyBorder="1" applyAlignment="1">
      <alignment horizontal="right" indent="2"/>
    </xf>
    <xf numFmtId="164" fontId="16" fillId="0" borderId="26" xfId="0" applyNumberFormat="1" applyFont="1" applyBorder="1" applyAlignment="1">
      <alignment horizontal="right"/>
    </xf>
    <xf numFmtId="167" fontId="11" fillId="0" borderId="9" xfId="1" applyNumberFormat="1" applyFont="1" applyBorder="1" applyAlignment="1">
      <alignment horizontal="right"/>
    </xf>
    <xf numFmtId="168" fontId="2" fillId="0" borderId="0" xfId="2" applyNumberFormat="1" applyFont="1" applyBorder="1"/>
    <xf numFmtId="164" fontId="10" fillId="0" borderId="12" xfId="1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9" xfId="0" applyNumberFormat="1" applyFont="1" applyBorder="1"/>
    <xf numFmtId="168" fontId="2" fillId="0" borderId="22" xfId="1" applyNumberFormat="1" applyFont="1" applyBorder="1" applyAlignment="1">
      <alignment horizontal="right"/>
    </xf>
    <xf numFmtId="164" fontId="11" fillId="0" borderId="0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/>
    <xf numFmtId="168" fontId="11" fillId="0" borderId="0" xfId="0" applyNumberFormat="1" applyFont="1" applyBorder="1" applyAlignment="1">
      <alignment horizontal="center"/>
    </xf>
    <xf numFmtId="43" fontId="11" fillId="0" borderId="0" xfId="1" applyNumberFormat="1" applyFont="1" applyFill="1" applyBorder="1" applyAlignment="1">
      <alignment horizontal="center"/>
    </xf>
    <xf numFmtId="168" fontId="2" fillId="0" borderId="0" xfId="0" applyNumberFormat="1" applyFont="1"/>
    <xf numFmtId="10" fontId="2" fillId="0" borderId="0" xfId="0" applyNumberFormat="1" applyFont="1"/>
    <xf numFmtId="0" fontId="2" fillId="0" borderId="24" xfId="0" applyFont="1" applyBorder="1" applyAlignment="1">
      <alignment horizontal="left"/>
    </xf>
    <xf numFmtId="164" fontId="12" fillId="0" borderId="0" xfId="1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9" fontId="2" fillId="0" borderId="0" xfId="0" applyNumberFormat="1" applyFont="1" applyBorder="1" applyAlignment="1">
      <alignment horizontal="center"/>
    </xf>
    <xf numFmtId="169" fontId="2" fillId="0" borderId="22" xfId="2" applyNumberFormat="1" applyFont="1" applyBorder="1"/>
    <xf numFmtId="168" fontId="2" fillId="0" borderId="10" xfId="0" applyNumberFormat="1" applyFont="1" applyBorder="1"/>
    <xf numFmtId="169" fontId="2" fillId="0" borderId="9" xfId="2" applyNumberFormat="1" applyFont="1" applyBorder="1"/>
    <xf numFmtId="167" fontId="2" fillId="0" borderId="0" xfId="0" applyNumberFormat="1" applyFont="1" applyBorder="1"/>
    <xf numFmtId="10" fontId="9" fillId="0" borderId="27" xfId="0" applyNumberFormat="1" applyFont="1" applyBorder="1"/>
    <xf numFmtId="0" fontId="18" fillId="0" borderId="13" xfId="0" applyFont="1" applyBorder="1"/>
    <xf numFmtId="10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8" fontId="2" fillId="0" borderId="12" xfId="2" applyNumberFormat="1" applyFont="1" applyBorder="1"/>
    <xf numFmtId="168" fontId="2" fillId="0" borderId="22" xfId="2" applyNumberFormat="1" applyFont="1" applyBorder="1"/>
    <xf numFmtId="169" fontId="2" fillId="0" borderId="12" xfId="0" applyNumberFormat="1" applyFont="1" applyBorder="1" applyAlignment="1">
      <alignment horizontal="center"/>
    </xf>
    <xf numFmtId="2" fontId="2" fillId="0" borderId="12" xfId="2" applyNumberFormat="1" applyFont="1" applyBorder="1" applyAlignment="1">
      <alignment horizontal="center"/>
    </xf>
    <xf numFmtId="168" fontId="2" fillId="0" borderId="9" xfId="2" applyNumberFormat="1" applyFont="1" applyBorder="1"/>
    <xf numFmtId="10" fontId="2" fillId="0" borderId="0" xfId="2" applyNumberFormat="1" applyFont="1"/>
    <xf numFmtId="43" fontId="2" fillId="0" borderId="0" xfId="1" applyFont="1"/>
    <xf numFmtId="171" fontId="9" fillId="0" borderId="27" xfId="1" applyNumberFormat="1" applyFont="1" applyBorder="1"/>
    <xf numFmtId="9" fontId="2" fillId="0" borderId="0" xfId="2" applyFont="1" applyAlignment="1">
      <alignment horizontal="right"/>
    </xf>
    <xf numFmtId="9" fontId="2" fillId="0" borderId="0" xfId="2" applyNumberFormat="1" applyFont="1" applyAlignment="1">
      <alignment horizontal="right"/>
    </xf>
    <xf numFmtId="0" fontId="3" fillId="3" borderId="18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12" fillId="0" borderId="7" xfId="4" applyFont="1" applyBorder="1"/>
    <xf numFmtId="0" fontId="12" fillId="0" borderId="2" xfId="4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6" fillId="0" borderId="40" xfId="4" applyFont="1" applyBorder="1"/>
    <xf numFmtId="0" fontId="12" fillId="0" borderId="42" xfId="4" applyFont="1" applyBorder="1" applyAlignment="1"/>
    <xf numFmtId="0" fontId="12" fillId="0" borderId="41" xfId="4" applyFont="1" applyBorder="1" applyAlignment="1">
      <alignment horizontal="center"/>
    </xf>
    <xf numFmtId="0" fontId="12" fillId="0" borderId="41" xfId="4" applyFont="1" applyBorder="1" applyAlignment="1"/>
    <xf numFmtId="0" fontId="12" fillId="0" borderId="41" xfId="4" applyFont="1" applyBorder="1" applyAlignment="1">
      <alignment horizontal="right"/>
    </xf>
    <xf numFmtId="0" fontId="12" fillId="0" borderId="46" xfId="4" applyFont="1" applyFill="1" applyBorder="1"/>
    <xf numFmtId="0" fontId="12" fillId="0" borderId="2" xfId="4" applyFont="1" applyFill="1" applyBorder="1"/>
    <xf numFmtId="0" fontId="16" fillId="0" borderId="0" xfId="4" applyFont="1" applyBorder="1" applyAlignment="1">
      <alignment horizontal="left"/>
    </xf>
    <xf numFmtId="0" fontId="16" fillId="2" borderId="30" xfId="4" applyFont="1" applyFill="1" applyBorder="1" applyAlignment="1">
      <alignment horizontal="left"/>
    </xf>
    <xf numFmtId="0" fontId="12" fillId="2" borderId="30" xfId="4" applyFont="1" applyFill="1" applyBorder="1" applyAlignment="1">
      <alignment horizontal="center"/>
    </xf>
    <xf numFmtId="0" fontId="12" fillId="2" borderId="48" xfId="4" applyFont="1" applyFill="1" applyBorder="1"/>
    <xf numFmtId="0" fontId="12" fillId="2" borderId="30" xfId="4" applyFont="1" applyFill="1" applyBorder="1"/>
    <xf numFmtId="0" fontId="16" fillId="2" borderId="0" xfId="4" applyFont="1" applyFill="1" applyBorder="1" applyAlignment="1">
      <alignment horizontal="left"/>
    </xf>
    <xf numFmtId="0" fontId="12" fillId="2" borderId="0" xfId="4" applyFont="1" applyFill="1" applyBorder="1" applyAlignment="1">
      <alignment horizontal="center"/>
    </xf>
    <xf numFmtId="0" fontId="12" fillId="2" borderId="47" xfId="4" applyFont="1" applyFill="1" applyBorder="1"/>
    <xf numFmtId="0" fontId="12" fillId="2" borderId="0" xfId="4" applyFont="1" applyFill="1" applyBorder="1"/>
    <xf numFmtId="0" fontId="16" fillId="0" borderId="42" xfId="4" applyFont="1" applyBorder="1"/>
    <xf numFmtId="0" fontId="16" fillId="0" borderId="2" xfId="4" applyFont="1" applyBorder="1" applyAlignment="1">
      <alignment horizontal="right"/>
    </xf>
    <xf numFmtId="0" fontId="16" fillId="0" borderId="30" xfId="4" applyFont="1" applyBorder="1"/>
    <xf numFmtId="0" fontId="12" fillId="0" borderId="30" xfId="4" applyFont="1" applyFill="1" applyBorder="1"/>
    <xf numFmtId="0" fontId="12" fillId="0" borderId="0" xfId="3" applyFont="1"/>
    <xf numFmtId="0" fontId="16" fillId="0" borderId="2" xfId="4" applyFont="1" applyBorder="1"/>
    <xf numFmtId="0" fontId="16" fillId="0" borderId="8" xfId="4" applyFont="1" applyFill="1" applyBorder="1"/>
    <xf numFmtId="0" fontId="12" fillId="0" borderId="45" xfId="4" applyFont="1" applyFill="1" applyBorder="1"/>
    <xf numFmtId="0" fontId="12" fillId="0" borderId="40" xfId="4" applyFont="1" applyBorder="1" applyAlignment="1">
      <alignment horizontal="center"/>
    </xf>
    <xf numFmtId="0" fontId="12" fillId="0" borderId="43" xfId="4" applyFont="1" applyBorder="1" applyAlignment="1">
      <alignment horizontal="center"/>
    </xf>
    <xf numFmtId="0" fontId="12" fillId="0" borderId="43" xfId="4" applyFont="1" applyBorder="1" applyAlignment="1"/>
    <xf numFmtId="0" fontId="12" fillId="0" borderId="49" xfId="4" applyFont="1" applyBorder="1" applyAlignment="1">
      <alignment horizontal="center"/>
    </xf>
    <xf numFmtId="0" fontId="12" fillId="0" borderId="0" xfId="4" applyFont="1" applyBorder="1" applyAlignment="1">
      <alignment vertical="center"/>
    </xf>
    <xf numFmtId="0" fontId="16" fillId="0" borderId="2" xfId="4" applyFont="1" applyBorder="1" applyAlignment="1">
      <alignment horizontal="center" wrapText="1"/>
    </xf>
    <xf numFmtId="0" fontId="12" fillId="0" borderId="0" xfId="4" applyFont="1" applyAlignment="1">
      <alignment wrapText="1"/>
    </xf>
    <xf numFmtId="0" fontId="12" fillId="0" borderId="2" xfId="4" applyFont="1" applyBorder="1" applyAlignment="1">
      <alignment wrapText="1"/>
    </xf>
    <xf numFmtId="0" fontId="12" fillId="0" borderId="40" xfId="4" applyFont="1" applyBorder="1" applyAlignment="1">
      <alignment horizontal="right"/>
    </xf>
    <xf numFmtId="0" fontId="12" fillId="0" borderId="2" xfId="4" applyFont="1" applyBorder="1" applyAlignment="1"/>
    <xf numFmtId="0" fontId="16" fillId="0" borderId="30" xfId="4" applyFont="1" applyFill="1" applyBorder="1" applyAlignment="1">
      <alignment horizontal="center"/>
    </xf>
    <xf numFmtId="0" fontId="12" fillId="0" borderId="44" xfId="4" applyFont="1" applyBorder="1" applyAlignment="1">
      <alignment horizontal="right"/>
    </xf>
    <xf numFmtId="0" fontId="12" fillId="0" borderId="43" xfId="4" applyFont="1" applyBorder="1" applyAlignment="1">
      <alignment horizontal="right"/>
    </xf>
    <xf numFmtId="0" fontId="12" fillId="0" borderId="0" xfId="4" applyFont="1" applyBorder="1"/>
    <xf numFmtId="0" fontId="12" fillId="0" borderId="0" xfId="4" applyFont="1" applyFill="1" applyAlignment="1">
      <alignment horizontal="center"/>
    </xf>
    <xf numFmtId="0" fontId="12" fillId="0" borderId="0" xfId="4" applyFont="1" applyFill="1"/>
    <xf numFmtId="0" fontId="3" fillId="3" borderId="20" xfId="0" applyFont="1" applyFill="1" applyBorder="1" applyAlignment="1"/>
    <xf numFmtId="0" fontId="3" fillId="3" borderId="23" xfId="0" applyFont="1" applyFill="1" applyBorder="1" applyAlignment="1"/>
    <xf numFmtId="0" fontId="3" fillId="3" borderId="19" xfId="0" applyFont="1" applyFill="1" applyBorder="1" applyAlignment="1"/>
    <xf numFmtId="0" fontId="3" fillId="3" borderId="18" xfId="0" applyFont="1" applyFill="1" applyBorder="1" applyAlignment="1"/>
    <xf numFmtId="0" fontId="3" fillId="3" borderId="16" xfId="0" applyFont="1" applyFill="1" applyBorder="1" applyAlignment="1"/>
    <xf numFmtId="0" fontId="12" fillId="0" borderId="15" xfId="4" applyFont="1" applyBorder="1"/>
    <xf numFmtId="0" fontId="12" fillId="0" borderId="51" xfId="4" applyFont="1" applyFill="1" applyBorder="1"/>
    <xf numFmtId="0" fontId="12" fillId="0" borderId="24" xfId="4" applyFont="1" applyBorder="1" applyAlignment="1">
      <alignment horizontal="center"/>
    </xf>
    <xf numFmtId="0" fontId="16" fillId="0" borderId="22" xfId="4" applyFont="1" applyBorder="1" applyAlignment="1">
      <alignment horizontal="center"/>
    </xf>
    <xf numFmtId="0" fontId="16" fillId="0" borderId="52" xfId="4" applyFont="1" applyBorder="1"/>
    <xf numFmtId="0" fontId="12" fillId="0" borderId="53" xfId="4" applyFont="1" applyBorder="1"/>
    <xf numFmtId="0" fontId="12" fillId="0" borderId="55" xfId="4" applyFont="1" applyFill="1" applyBorder="1"/>
    <xf numFmtId="0" fontId="12" fillId="0" borderId="58" xfId="4" applyFont="1" applyBorder="1" applyAlignment="1">
      <alignment horizontal="right"/>
    </xf>
    <xf numFmtId="0" fontId="12" fillId="0" borderId="22" xfId="4" applyFont="1" applyFill="1" applyBorder="1"/>
    <xf numFmtId="0" fontId="16" fillId="0" borderId="13" xfId="4" applyFont="1" applyBorder="1" applyAlignment="1">
      <alignment horizontal="left"/>
    </xf>
    <xf numFmtId="0" fontId="16" fillId="2" borderId="35" xfId="4" applyFont="1" applyFill="1" applyBorder="1" applyAlignment="1">
      <alignment horizontal="left"/>
    </xf>
    <xf numFmtId="0" fontId="12" fillId="2" borderId="36" xfId="4" applyFont="1" applyFill="1" applyBorder="1"/>
    <xf numFmtId="0" fontId="12" fillId="0" borderId="53" xfId="4" applyFont="1" applyFill="1" applyBorder="1"/>
    <xf numFmtId="0" fontId="16" fillId="2" borderId="13" xfId="4" applyFont="1" applyFill="1" applyBorder="1" applyAlignment="1">
      <alignment horizontal="left"/>
    </xf>
    <xf numFmtId="0" fontId="12" fillId="2" borderId="12" xfId="4" applyFont="1" applyFill="1" applyBorder="1"/>
    <xf numFmtId="0" fontId="16" fillId="0" borderId="61" xfId="4" applyFont="1" applyBorder="1"/>
    <xf numFmtId="0" fontId="16" fillId="0" borderId="24" xfId="4" applyFont="1" applyBorder="1" applyAlignment="1">
      <alignment horizontal="left"/>
    </xf>
    <xf numFmtId="0" fontId="16" fillId="0" borderId="35" xfId="4" applyFont="1" applyBorder="1"/>
    <xf numFmtId="0" fontId="12" fillId="0" borderId="0" xfId="3" applyFont="1" applyBorder="1"/>
    <xf numFmtId="0" fontId="12" fillId="0" borderId="36" xfId="4" applyFont="1" applyFill="1" applyBorder="1"/>
    <xf numFmtId="0" fontId="16" fillId="0" borderId="24" xfId="4" applyFont="1" applyBorder="1"/>
    <xf numFmtId="0" fontId="16" fillId="0" borderId="11" xfId="4" applyFont="1" applyBorder="1"/>
    <xf numFmtId="0" fontId="16" fillId="0" borderId="10" xfId="4" applyFont="1" applyBorder="1"/>
    <xf numFmtId="0" fontId="12" fillId="0" borderId="62" xfId="4" applyFont="1" applyFill="1" applyBorder="1"/>
    <xf numFmtId="0" fontId="12" fillId="0" borderId="10" xfId="4" applyFont="1" applyFill="1" applyBorder="1"/>
    <xf numFmtId="0" fontId="16" fillId="0" borderId="31" xfId="4" applyFont="1" applyFill="1" applyBorder="1"/>
    <xf numFmtId="0" fontId="12" fillId="0" borderId="39" xfId="4" applyFont="1" applyFill="1" applyBorder="1"/>
    <xf numFmtId="0" fontId="12" fillId="0" borderId="9" xfId="4" applyFont="1" applyFill="1" applyBorder="1"/>
    <xf numFmtId="0" fontId="12" fillId="0" borderId="13" xfId="3" applyFont="1" applyBorder="1"/>
    <xf numFmtId="0" fontId="12" fillId="0" borderId="63" xfId="4" applyFont="1" applyFill="1" applyBorder="1"/>
    <xf numFmtId="0" fontId="12" fillId="0" borderId="64" xfId="4" applyFont="1" applyFill="1" applyBorder="1"/>
    <xf numFmtId="0" fontId="12" fillId="0" borderId="51" xfId="4" applyFont="1" applyBorder="1" applyAlignment="1"/>
    <xf numFmtId="0" fontId="12" fillId="0" borderId="55" xfId="4" applyFont="1" applyBorder="1" applyAlignment="1"/>
    <xf numFmtId="0" fontId="12" fillId="0" borderId="64" xfId="4" applyFont="1" applyBorder="1" applyAlignment="1"/>
    <xf numFmtId="0" fontId="16" fillId="0" borderId="36" xfId="4" applyFont="1" applyBorder="1" applyAlignment="1">
      <alignment horizontal="center"/>
    </xf>
    <xf numFmtId="0" fontId="12" fillId="0" borderId="58" xfId="4" applyFont="1" applyBorder="1"/>
    <xf numFmtId="0" fontId="12" fillId="0" borderId="53" xfId="4" applyFont="1" applyBorder="1" applyAlignment="1"/>
    <xf numFmtId="0" fontId="12" fillId="0" borderId="59" xfId="4" applyFont="1" applyBorder="1"/>
    <xf numFmtId="0" fontId="16" fillId="0" borderId="10" xfId="4" applyFont="1" applyBorder="1" applyAlignment="1">
      <alignment horizontal="right"/>
    </xf>
    <xf numFmtId="0" fontId="16" fillId="0" borderId="61" xfId="4" applyFont="1" applyBorder="1" applyAlignment="1">
      <alignment vertical="center"/>
    </xf>
    <xf numFmtId="0" fontId="16" fillId="0" borderId="61" xfId="4" applyFont="1" applyBorder="1" applyAlignment="1"/>
    <xf numFmtId="0" fontId="12" fillId="0" borderId="51" xfId="4" applyFont="1" applyBorder="1" applyAlignment="1">
      <alignment horizontal="right"/>
    </xf>
    <xf numFmtId="0" fontId="12" fillId="0" borderId="32" xfId="4" applyFont="1" applyBorder="1" applyAlignment="1"/>
    <xf numFmtId="0" fontId="19" fillId="3" borderId="23" xfId="4" applyFont="1" applyFill="1" applyBorder="1" applyAlignment="1">
      <alignment vertical="center"/>
    </xf>
    <xf numFmtId="0" fontId="20" fillId="3" borderId="23" xfId="4" applyFont="1" applyFill="1" applyBorder="1" applyAlignment="1">
      <alignment vertical="center"/>
    </xf>
    <xf numFmtId="0" fontId="12" fillId="3" borderId="23" xfId="4" applyFont="1" applyFill="1" applyBorder="1" applyAlignment="1">
      <alignment vertical="center"/>
    </xf>
    <xf numFmtId="0" fontId="19" fillId="3" borderId="50" xfId="4" applyFont="1" applyFill="1" applyBorder="1" applyAlignment="1">
      <alignment horizontal="right" vertical="center"/>
    </xf>
    <xf numFmtId="0" fontId="19" fillId="3" borderId="16" xfId="4" applyFont="1" applyFill="1" applyBorder="1" applyAlignment="1">
      <alignment horizontal="left" vertical="center"/>
    </xf>
    <xf numFmtId="0" fontId="22" fillId="3" borderId="20" xfId="4" applyFont="1" applyFill="1" applyBorder="1" applyAlignment="1">
      <alignment vertical="center"/>
    </xf>
    <xf numFmtId="0" fontId="22" fillId="3" borderId="23" xfId="4" applyFont="1" applyFill="1" applyBorder="1" applyAlignment="1">
      <alignment vertical="center"/>
    </xf>
    <xf numFmtId="0" fontId="23" fillId="3" borderId="23" xfId="4" applyFont="1" applyFill="1" applyBorder="1" applyAlignment="1">
      <alignment vertical="center"/>
    </xf>
    <xf numFmtId="0" fontId="24" fillId="3" borderId="23" xfId="4" applyFont="1" applyFill="1" applyBorder="1" applyAlignment="1">
      <alignment vertical="center"/>
    </xf>
    <xf numFmtId="0" fontId="24" fillId="3" borderId="19" xfId="4" applyFont="1" applyFill="1" applyBorder="1" applyAlignment="1">
      <alignment vertical="center"/>
    </xf>
    <xf numFmtId="0" fontId="3" fillId="3" borderId="20" xfId="0" applyFont="1" applyFill="1" applyBorder="1" applyAlignment="1"/>
    <xf numFmtId="0" fontId="3" fillId="3" borderId="19" xfId="0" applyFont="1" applyFill="1" applyBorder="1" applyAlignment="1"/>
    <xf numFmtId="0" fontId="3" fillId="3" borderId="18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2" fillId="7" borderId="2" xfId="4" applyFont="1" applyFill="1" applyBorder="1" applyAlignment="1">
      <alignment horizontal="center"/>
    </xf>
    <xf numFmtId="0" fontId="16" fillId="7" borderId="40" xfId="4" applyFont="1" applyFill="1" applyBorder="1"/>
    <xf numFmtId="0" fontId="12" fillId="7" borderId="41" xfId="4" applyFont="1" applyFill="1" applyBorder="1" applyAlignment="1">
      <alignment horizontal="right"/>
    </xf>
    <xf numFmtId="0" fontId="16" fillId="7" borderId="0" xfId="4" applyFont="1" applyFill="1" applyBorder="1" applyAlignment="1">
      <alignment horizontal="left"/>
    </xf>
    <xf numFmtId="0" fontId="16" fillId="7" borderId="30" xfId="4" applyFont="1" applyFill="1" applyBorder="1" applyAlignment="1">
      <alignment horizontal="left"/>
    </xf>
    <xf numFmtId="0" fontId="16" fillId="7" borderId="42" xfId="4" applyFont="1" applyFill="1" applyBorder="1"/>
    <xf numFmtId="0" fontId="16" fillId="7" borderId="2" xfId="4" applyFont="1" applyFill="1" applyBorder="1" applyAlignment="1">
      <alignment horizontal="right"/>
    </xf>
    <xf numFmtId="0" fontId="16" fillId="7" borderId="2" xfId="4" applyFont="1" applyFill="1" applyBorder="1"/>
    <xf numFmtId="0" fontId="16" fillId="7" borderId="10" xfId="4" applyFont="1" applyFill="1" applyBorder="1"/>
    <xf numFmtId="0" fontId="12" fillId="7" borderId="0" xfId="3" applyFont="1" applyFill="1" applyBorder="1"/>
    <xf numFmtId="0" fontId="12" fillId="7" borderId="43" xfId="4" applyFont="1" applyFill="1" applyBorder="1" applyAlignment="1">
      <alignment horizontal="right"/>
    </xf>
    <xf numFmtId="0" fontId="12" fillId="0" borderId="41" xfId="4" applyFont="1" applyFill="1" applyBorder="1" applyAlignment="1">
      <alignment horizontal="center"/>
    </xf>
    <xf numFmtId="0" fontId="12" fillId="0" borderId="41" xfId="4" applyFont="1" applyFill="1" applyBorder="1" applyAlignment="1">
      <alignment horizontal="center"/>
    </xf>
    <xf numFmtId="0" fontId="12" fillId="0" borderId="55" xfId="4" applyFont="1" applyFill="1" applyBorder="1" applyAlignment="1">
      <alignment horizontal="center"/>
    </xf>
    <xf numFmtId="0" fontId="12" fillId="0" borderId="42" xfId="4" applyFont="1" applyFill="1" applyBorder="1" applyAlignment="1">
      <alignment horizontal="center"/>
    </xf>
    <xf numFmtId="0" fontId="12" fillId="0" borderId="2" xfId="4" applyFont="1" applyFill="1" applyBorder="1" applyAlignment="1">
      <alignment horizontal="center"/>
    </xf>
    <xf numFmtId="0" fontId="16" fillId="7" borderId="0" xfId="4" applyFont="1" applyFill="1" applyBorder="1" applyAlignment="1">
      <alignment horizontal="left" wrapText="1"/>
    </xf>
    <xf numFmtId="0" fontId="12" fillId="7" borderId="40" xfId="4" applyFont="1" applyFill="1" applyBorder="1" applyAlignment="1">
      <alignment horizontal="right"/>
    </xf>
    <xf numFmtId="0" fontId="12" fillId="7" borderId="2" xfId="4" applyFont="1" applyFill="1" applyBorder="1" applyAlignment="1">
      <alignment horizontal="right"/>
    </xf>
    <xf numFmtId="0" fontId="16" fillId="7" borderId="7" xfId="4" applyFont="1" applyFill="1" applyBorder="1"/>
    <xf numFmtId="0" fontId="12" fillId="0" borderId="58" xfId="4" applyFont="1" applyBorder="1" applyAlignment="1"/>
    <xf numFmtId="0" fontId="16" fillId="0" borderId="43" xfId="4" applyFont="1" applyBorder="1" applyAlignment="1"/>
    <xf numFmtId="0" fontId="12" fillId="0" borderId="54" xfId="4" applyFont="1" applyBorder="1" applyAlignment="1">
      <alignment vertical="center"/>
    </xf>
    <xf numFmtId="0" fontId="12" fillId="0" borderId="56" xfId="4" applyFont="1" applyBorder="1" applyAlignment="1">
      <alignment vertical="center"/>
    </xf>
    <xf numFmtId="0" fontId="16" fillId="0" borderId="59" xfId="4" applyFont="1" applyBorder="1" applyAlignment="1"/>
    <xf numFmtId="0" fontId="12" fillId="0" borderId="59" xfId="4" applyFont="1" applyBorder="1" applyAlignment="1"/>
    <xf numFmtId="0" fontId="21" fillId="0" borderId="24" xfId="4" applyFont="1" applyBorder="1" applyAlignment="1">
      <alignment wrapText="1"/>
    </xf>
    <xf numFmtId="0" fontId="16" fillId="0" borderId="37" xfId="4" applyFont="1" applyBorder="1" applyAlignment="1"/>
    <xf numFmtId="0" fontId="16" fillId="0" borderId="32" xfId="4" applyFont="1" applyBorder="1" applyAlignment="1"/>
    <xf numFmtId="0" fontId="22" fillId="3" borderId="19" xfId="4" applyFont="1" applyFill="1" applyBorder="1" applyAlignment="1">
      <alignment vertical="center"/>
    </xf>
    <xf numFmtId="0" fontId="12" fillId="0" borderId="58" xfId="4" applyFont="1" applyBorder="1" applyAlignment="1">
      <alignment vertical="center"/>
    </xf>
    <xf numFmtId="0" fontId="12" fillId="0" borderId="24" xfId="4" applyFont="1" applyBorder="1" applyAlignment="1">
      <alignment vertical="center"/>
    </xf>
    <xf numFmtId="0" fontId="16" fillId="0" borderId="30" xfId="4" applyFont="1" applyFill="1" applyBorder="1" applyAlignment="1"/>
    <xf numFmtId="0" fontId="12" fillId="0" borderId="63" xfId="4" applyFont="1" applyBorder="1" applyAlignment="1"/>
    <xf numFmtId="0" fontId="16" fillId="0" borderId="51" xfId="4" applyFont="1" applyFill="1" applyBorder="1" applyAlignment="1">
      <alignment horizontal="center"/>
    </xf>
    <xf numFmtId="0" fontId="16" fillId="0" borderId="3" xfId="4" applyFont="1" applyBorder="1" applyAlignment="1">
      <alignment horizontal="center"/>
    </xf>
    <xf numFmtId="0" fontId="16" fillId="0" borderId="1" xfId="4" applyFont="1" applyBorder="1" applyAlignment="1">
      <alignment horizontal="center"/>
    </xf>
    <xf numFmtId="0" fontId="12" fillId="0" borderId="3" xfId="4" applyFont="1" applyFill="1" applyBorder="1"/>
    <xf numFmtId="0" fontId="12" fillId="0" borderId="1" xfId="4" applyFont="1" applyFill="1" applyBorder="1"/>
    <xf numFmtId="0" fontId="12" fillId="7" borderId="7" xfId="4" applyFont="1" applyFill="1" applyBorder="1" applyAlignment="1">
      <alignment horizontal="center"/>
    </xf>
    <xf numFmtId="0" fontId="16" fillId="4" borderId="68" xfId="4" applyFont="1" applyFill="1" applyBorder="1" applyAlignment="1">
      <alignment horizontal="center"/>
    </xf>
    <xf numFmtId="0" fontId="16" fillId="4" borderId="42" xfId="4" applyFont="1" applyFill="1" applyBorder="1" applyAlignment="1">
      <alignment horizontal="center"/>
    </xf>
    <xf numFmtId="0" fontId="16" fillId="4" borderId="69" xfId="4" applyFont="1" applyFill="1" applyBorder="1" applyAlignment="1">
      <alignment horizontal="center"/>
    </xf>
    <xf numFmtId="0" fontId="16" fillId="4" borderId="3" xfId="4" applyFont="1" applyFill="1" applyBorder="1" applyAlignment="1">
      <alignment horizontal="center"/>
    </xf>
    <xf numFmtId="0" fontId="16" fillId="4" borderId="2" xfId="4" applyFont="1" applyFill="1" applyBorder="1" applyAlignment="1">
      <alignment horizontal="center"/>
    </xf>
    <xf numFmtId="0" fontId="12" fillId="4" borderId="70" xfId="4" applyFont="1" applyFill="1" applyBorder="1"/>
    <xf numFmtId="0" fontId="12" fillId="4" borderId="40" xfId="4" applyFont="1" applyFill="1" applyBorder="1"/>
    <xf numFmtId="0" fontId="12" fillId="4" borderId="71" xfId="4" applyFont="1" applyFill="1" applyBorder="1"/>
    <xf numFmtId="0" fontId="12" fillId="4" borderId="72" xfId="4" applyFont="1" applyFill="1" applyBorder="1"/>
    <xf numFmtId="0" fontId="12" fillId="4" borderId="41" xfId="4" applyFont="1" applyFill="1" applyBorder="1"/>
    <xf numFmtId="0" fontId="12" fillId="4" borderId="73" xfId="4" applyFont="1" applyFill="1" applyBorder="1"/>
    <xf numFmtId="0" fontId="12" fillId="4" borderId="42" xfId="4" applyFont="1" applyFill="1" applyBorder="1"/>
    <xf numFmtId="0" fontId="12" fillId="4" borderId="44" xfId="4" applyFont="1" applyFill="1" applyBorder="1"/>
    <xf numFmtId="0" fontId="12" fillId="4" borderId="43" xfId="4" applyFont="1" applyFill="1" applyBorder="1"/>
    <xf numFmtId="0" fontId="16" fillId="6" borderId="68" xfId="4" applyFont="1" applyFill="1" applyBorder="1" applyAlignment="1">
      <alignment horizontal="center"/>
    </xf>
    <xf numFmtId="0" fontId="16" fillId="6" borderId="69" xfId="4" applyFont="1" applyFill="1" applyBorder="1" applyAlignment="1">
      <alignment horizontal="center"/>
    </xf>
    <xf numFmtId="0" fontId="16" fillId="6" borderId="3" xfId="4" applyFont="1" applyFill="1" applyBorder="1" applyAlignment="1">
      <alignment horizontal="center"/>
    </xf>
    <xf numFmtId="0" fontId="16" fillId="6" borderId="1" xfId="4" applyFont="1" applyFill="1" applyBorder="1" applyAlignment="1">
      <alignment horizontal="center"/>
    </xf>
    <xf numFmtId="0" fontId="12" fillId="6" borderId="70" xfId="4" applyFont="1" applyFill="1" applyBorder="1"/>
    <xf numFmtId="0" fontId="12" fillId="6" borderId="71" xfId="4" applyFont="1" applyFill="1" applyBorder="1"/>
    <xf numFmtId="0" fontId="12" fillId="6" borderId="72" xfId="4" applyFont="1" applyFill="1" applyBorder="1"/>
    <xf numFmtId="0" fontId="12" fillId="6" borderId="73" xfId="4" applyFont="1" applyFill="1" applyBorder="1"/>
    <xf numFmtId="0" fontId="16" fillId="5" borderId="68" xfId="4" applyFont="1" applyFill="1" applyBorder="1" applyAlignment="1">
      <alignment horizontal="center"/>
    </xf>
    <xf numFmtId="0" fontId="16" fillId="5" borderId="69" xfId="4" applyFont="1" applyFill="1" applyBorder="1" applyAlignment="1">
      <alignment horizontal="center"/>
    </xf>
    <xf numFmtId="0" fontId="16" fillId="5" borderId="3" xfId="4" applyFont="1" applyFill="1" applyBorder="1" applyAlignment="1">
      <alignment horizontal="center"/>
    </xf>
    <xf numFmtId="0" fontId="12" fillId="5" borderId="70" xfId="4" applyFont="1" applyFill="1" applyBorder="1"/>
    <xf numFmtId="0" fontId="12" fillId="5" borderId="71" xfId="4" applyFont="1" applyFill="1" applyBorder="1"/>
    <xf numFmtId="0" fontId="12" fillId="5" borderId="72" xfId="4" applyFont="1" applyFill="1" applyBorder="1"/>
    <xf numFmtId="0" fontId="12" fillId="5" borderId="73" xfId="4" applyFont="1" applyFill="1" applyBorder="1"/>
    <xf numFmtId="0" fontId="12" fillId="5" borderId="68" xfId="4" applyFont="1" applyFill="1" applyBorder="1"/>
    <xf numFmtId="0" fontId="12" fillId="5" borderId="69" xfId="4" applyFont="1" applyFill="1" applyBorder="1"/>
    <xf numFmtId="0" fontId="12" fillId="5" borderId="42" xfId="4" applyFont="1" applyFill="1" applyBorder="1"/>
    <xf numFmtId="0" fontId="12" fillId="5" borderId="41" xfId="4" applyFont="1" applyFill="1" applyBorder="1"/>
    <xf numFmtId="0" fontId="12" fillId="4" borderId="68" xfId="4" applyFont="1" applyFill="1" applyBorder="1"/>
    <xf numFmtId="0" fontId="12" fillId="4" borderId="69" xfId="4" applyFont="1" applyFill="1" applyBorder="1"/>
    <xf numFmtId="0" fontId="12" fillId="4" borderId="76" xfId="4" applyFont="1" applyFill="1" applyBorder="1"/>
    <xf numFmtId="0" fontId="12" fillId="4" borderId="77" xfId="4" applyFont="1" applyFill="1" applyBorder="1"/>
    <xf numFmtId="0" fontId="12" fillId="4" borderId="78" xfId="4" applyFont="1" applyFill="1" applyBorder="1"/>
    <xf numFmtId="0" fontId="12" fillId="4" borderId="74" xfId="4" applyFont="1" applyFill="1" applyBorder="1"/>
    <xf numFmtId="0" fontId="12" fillId="5" borderId="76" xfId="4" applyFont="1" applyFill="1" applyBorder="1"/>
    <xf numFmtId="0" fontId="12" fillId="5" borderId="77" xfId="4" applyFont="1" applyFill="1" applyBorder="1"/>
    <xf numFmtId="0" fontId="12" fillId="5" borderId="78" xfId="4" applyFont="1" applyFill="1" applyBorder="1"/>
    <xf numFmtId="0" fontId="12" fillId="5" borderId="74" xfId="4" applyFont="1" applyFill="1" applyBorder="1"/>
    <xf numFmtId="0" fontId="16" fillId="0" borderId="24" xfId="4" applyFont="1" applyBorder="1" applyAlignment="1">
      <alignment horizontal="left" wrapText="1"/>
    </xf>
    <xf numFmtId="0" fontId="16" fillId="0" borderId="2" xfId="4" applyFont="1" applyBorder="1" applyAlignment="1">
      <alignment horizontal="left" wrapText="1"/>
    </xf>
    <xf numFmtId="0" fontId="12" fillId="6" borderId="68" xfId="4" applyFont="1" applyFill="1" applyBorder="1"/>
    <xf numFmtId="0" fontId="12" fillId="6" borderId="76" xfId="4" applyFont="1" applyFill="1" applyBorder="1"/>
    <xf numFmtId="0" fontId="12" fillId="6" borderId="78" xfId="4" applyFont="1" applyFill="1" applyBorder="1"/>
    <xf numFmtId="0" fontId="16" fillId="5" borderId="42" xfId="4" applyFont="1" applyFill="1" applyBorder="1" applyAlignment="1">
      <alignment horizontal="center"/>
    </xf>
    <xf numFmtId="0" fontId="16" fillId="0" borderId="53" xfId="4" applyFont="1" applyBorder="1" applyAlignment="1">
      <alignment horizontal="center"/>
    </xf>
    <xf numFmtId="0" fontId="16" fillId="0" borderId="79" xfId="4" applyFont="1" applyBorder="1" applyAlignment="1">
      <alignment horizontal="center"/>
    </xf>
    <xf numFmtId="0" fontId="16" fillId="0" borderId="80" xfId="4" applyFont="1" applyBorder="1" applyAlignment="1">
      <alignment horizontal="center"/>
    </xf>
    <xf numFmtId="0" fontId="16" fillId="0" borderId="81" xfId="4" applyFont="1" applyBorder="1" applyAlignment="1">
      <alignment horizontal="center"/>
    </xf>
    <xf numFmtId="0" fontId="16" fillId="0" borderId="83" xfId="4" applyFont="1" applyBorder="1" applyAlignment="1">
      <alignment horizontal="center"/>
    </xf>
    <xf numFmtId="9" fontId="12" fillId="0" borderId="82" xfId="4" applyNumberFormat="1" applyFont="1" applyBorder="1" applyAlignment="1">
      <alignment horizontal="center"/>
    </xf>
    <xf numFmtId="0" fontId="12" fillId="0" borderId="57" xfId="4" applyFont="1" applyBorder="1" applyAlignment="1">
      <alignment horizontal="left" vertical="center"/>
    </xf>
    <xf numFmtId="0" fontId="12" fillId="0" borderId="58" xfId="4" applyFont="1" applyBorder="1" applyAlignment="1">
      <alignment horizontal="left"/>
    </xf>
    <xf numFmtId="0" fontId="12" fillId="0" borderId="54" xfId="4" applyFont="1" applyBorder="1" applyAlignment="1">
      <alignment horizontal="left" vertical="center"/>
    </xf>
    <xf numFmtId="0" fontId="12" fillId="0" borderId="56" xfId="4" applyFont="1" applyBorder="1" applyAlignment="1">
      <alignment horizontal="left" vertical="center"/>
    </xf>
    <xf numFmtId="0" fontId="12" fillId="0" borderId="60" xfId="4" applyFont="1" applyBorder="1" applyAlignment="1">
      <alignment horizontal="left"/>
    </xf>
    <xf numFmtId="0" fontId="12" fillId="0" borderId="59" xfId="4" applyFont="1" applyBorder="1" applyAlignment="1">
      <alignment horizontal="left"/>
    </xf>
    <xf numFmtId="0" fontId="16" fillId="0" borderId="22" xfId="4" applyFont="1" applyBorder="1" applyAlignment="1">
      <alignment horizontal="center" wrapText="1"/>
    </xf>
    <xf numFmtId="0" fontId="12" fillId="0" borderId="13" xfId="0" applyFont="1" applyBorder="1"/>
    <xf numFmtId="166" fontId="12" fillId="0" borderId="0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66" fontId="12" fillId="0" borderId="12" xfId="1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6" fillId="0" borderId="13" xfId="0" applyFont="1" applyBorder="1"/>
    <xf numFmtId="0" fontId="25" fillId="0" borderId="13" xfId="0" applyFont="1" applyBorder="1"/>
    <xf numFmtId="0" fontId="25" fillId="0" borderId="0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12" fillId="0" borderId="0" xfId="0" applyFont="1" applyBorder="1"/>
    <xf numFmtId="0" fontId="12" fillId="0" borderId="12" xfId="0" applyFont="1" applyBorder="1"/>
    <xf numFmtId="0" fontId="12" fillId="0" borderId="11" xfId="0" applyFont="1" applyBorder="1"/>
    <xf numFmtId="167" fontId="12" fillId="0" borderId="0" xfId="1" applyNumberFormat="1" applyFont="1" applyBorder="1" applyAlignment="1">
      <alignment horizontal="right"/>
    </xf>
    <xf numFmtId="164" fontId="12" fillId="0" borderId="10" xfId="1" applyNumberFormat="1" applyFont="1" applyBorder="1" applyAlignment="1">
      <alignment horizontal="right"/>
    </xf>
    <xf numFmtId="167" fontId="12" fillId="0" borderId="10" xfId="1" applyNumberFormat="1" applyFont="1" applyBorder="1" applyAlignment="1">
      <alignment horizontal="right"/>
    </xf>
    <xf numFmtId="168" fontId="12" fillId="0" borderId="12" xfId="1" applyNumberFormat="1" applyFont="1" applyBorder="1" applyAlignment="1">
      <alignment horizontal="right"/>
    </xf>
    <xf numFmtId="168" fontId="12" fillId="0" borderId="9" xfId="1" applyNumberFormat="1" applyFont="1" applyBorder="1" applyAlignment="1">
      <alignment horizontal="right"/>
    </xf>
    <xf numFmtId="167" fontId="12" fillId="0" borderId="5" xfId="1" applyNumberFormat="1" applyFont="1" applyBorder="1" applyAlignment="1">
      <alignment horizontal="center"/>
    </xf>
    <xf numFmtId="168" fontId="12" fillId="0" borderId="12" xfId="1" applyNumberFormat="1" applyFont="1" applyBorder="1" applyAlignment="1">
      <alignment horizontal="center"/>
    </xf>
    <xf numFmtId="168" fontId="12" fillId="0" borderId="22" xfId="1" applyNumberFormat="1" applyFont="1" applyBorder="1" applyAlignment="1">
      <alignment horizontal="center"/>
    </xf>
    <xf numFmtId="168" fontId="12" fillId="0" borderId="9" xfId="1" applyNumberFormat="1" applyFont="1" applyBorder="1" applyAlignment="1">
      <alignment horizontal="center"/>
    </xf>
    <xf numFmtId="169" fontId="12" fillId="0" borderId="0" xfId="2" applyNumberFormat="1" applyFont="1" applyBorder="1" applyAlignment="1">
      <alignment horizontal="right"/>
    </xf>
    <xf numFmtId="167" fontId="12" fillId="0" borderId="12" xfId="1" applyNumberFormat="1" applyFont="1" applyBorder="1" applyAlignment="1">
      <alignment horizontal="right"/>
    </xf>
    <xf numFmtId="169" fontId="12" fillId="0" borderId="10" xfId="2" applyNumberFormat="1" applyFont="1" applyBorder="1" applyAlignment="1">
      <alignment horizontal="right"/>
    </xf>
    <xf numFmtId="167" fontId="12" fillId="0" borderId="9" xfId="1" applyNumberFormat="1" applyFont="1" applyBorder="1" applyAlignment="1">
      <alignment horizontal="right"/>
    </xf>
    <xf numFmtId="168" fontId="12" fillId="7" borderId="41" xfId="4" applyNumberFormat="1" applyFont="1" applyFill="1" applyBorder="1" applyAlignment="1">
      <alignment horizontal="right"/>
    </xf>
    <xf numFmtId="168" fontId="12" fillId="4" borderId="72" xfId="4" applyNumberFormat="1" applyFont="1" applyFill="1" applyBorder="1"/>
    <xf numFmtId="168" fontId="12" fillId="4" borderId="41" xfId="4" applyNumberFormat="1" applyFont="1" applyFill="1" applyBorder="1"/>
    <xf numFmtId="168" fontId="12" fillId="5" borderId="72" xfId="4" applyNumberFormat="1" applyFont="1" applyFill="1" applyBorder="1"/>
    <xf numFmtId="168" fontId="12" fillId="0" borderId="55" xfId="4" applyNumberFormat="1" applyFont="1" applyFill="1" applyBorder="1"/>
    <xf numFmtId="0" fontId="16" fillId="5" borderId="2" xfId="4" applyFont="1" applyFill="1" applyBorder="1" applyAlignment="1">
      <alignment horizontal="center"/>
    </xf>
    <xf numFmtId="0" fontId="12" fillId="5" borderId="40" xfId="4" applyFont="1" applyFill="1" applyBorder="1"/>
    <xf numFmtId="168" fontId="12" fillId="5" borderId="41" xfId="4" applyNumberFormat="1" applyFont="1" applyFill="1" applyBorder="1"/>
    <xf numFmtId="168" fontId="12" fillId="6" borderId="72" xfId="4" applyNumberFormat="1" applyFont="1" applyFill="1" applyBorder="1"/>
    <xf numFmtId="168" fontId="12" fillId="6" borderId="73" xfId="4" applyNumberFormat="1" applyFont="1" applyFill="1" applyBorder="1"/>
    <xf numFmtId="0" fontId="12" fillId="2" borderId="75" xfId="4" applyFont="1" applyFill="1" applyBorder="1"/>
    <xf numFmtId="0" fontId="12" fillId="2" borderId="45" xfId="4" applyFont="1" applyFill="1" applyBorder="1"/>
    <xf numFmtId="0" fontId="12" fillId="6" borderId="69" xfId="4" applyFont="1" applyFill="1" applyBorder="1"/>
    <xf numFmtId="0" fontId="12" fillId="2" borderId="5" xfId="4" applyFont="1" applyFill="1" applyBorder="1"/>
    <xf numFmtId="0" fontId="12" fillId="2" borderId="4" xfId="4" applyFont="1" applyFill="1" applyBorder="1"/>
    <xf numFmtId="0" fontId="12" fillId="6" borderId="77" xfId="4" applyFont="1" applyFill="1" applyBorder="1"/>
    <xf numFmtId="0" fontId="12" fillId="6" borderId="74" xfId="4" applyFont="1" applyFill="1" applyBorder="1"/>
    <xf numFmtId="0" fontId="12" fillId="0" borderId="21" xfId="4" applyFont="1" applyFill="1" applyBorder="1"/>
    <xf numFmtId="168" fontId="12" fillId="0" borderId="72" xfId="4" applyNumberFormat="1" applyFont="1" applyBorder="1" applyAlignment="1">
      <alignment horizontal="center"/>
    </xf>
    <xf numFmtId="168" fontId="12" fillId="0" borderId="41" xfId="4" applyNumberFormat="1" applyFont="1" applyBorder="1" applyAlignment="1">
      <alignment horizontal="center"/>
    </xf>
    <xf numFmtId="168" fontId="12" fillId="0" borderId="55" xfId="4" applyNumberFormat="1" applyFont="1" applyBorder="1" applyAlignment="1">
      <alignment horizontal="center"/>
    </xf>
    <xf numFmtId="168" fontId="16" fillId="7" borderId="2" xfId="4" applyNumberFormat="1" applyFont="1" applyFill="1" applyBorder="1" applyAlignment="1">
      <alignment horizontal="right"/>
    </xf>
    <xf numFmtId="168" fontId="12" fillId="0" borderId="22" xfId="4" applyNumberFormat="1" applyFont="1" applyFill="1" applyBorder="1" applyAlignment="1">
      <alignment horizontal="right"/>
    </xf>
    <xf numFmtId="168" fontId="16" fillId="4" borderId="3" xfId="4" applyNumberFormat="1" applyFont="1" applyFill="1" applyBorder="1" applyAlignment="1">
      <alignment horizontal="right"/>
    </xf>
    <xf numFmtId="168" fontId="16" fillId="4" borderId="2" xfId="4" applyNumberFormat="1" applyFont="1" applyFill="1" applyBorder="1" applyAlignment="1">
      <alignment horizontal="right"/>
    </xf>
    <xf numFmtId="168" fontId="16" fillId="5" borderId="3" xfId="4" applyNumberFormat="1" applyFont="1" applyFill="1" applyBorder="1" applyAlignment="1">
      <alignment horizontal="right"/>
    </xf>
    <xf numFmtId="168" fontId="16" fillId="5" borderId="2" xfId="4" applyNumberFormat="1" applyFont="1" applyFill="1" applyBorder="1" applyAlignment="1">
      <alignment horizontal="right"/>
    </xf>
    <xf numFmtId="168" fontId="16" fillId="6" borderId="3" xfId="4" applyNumberFormat="1" applyFont="1" applyFill="1" applyBorder="1" applyAlignment="1">
      <alignment horizontal="right"/>
    </xf>
    <xf numFmtId="168" fontId="16" fillId="6" borderId="1" xfId="4" applyNumberFormat="1" applyFont="1" applyFill="1" applyBorder="1" applyAlignment="1">
      <alignment horizontal="right"/>
    </xf>
    <xf numFmtId="168" fontId="16" fillId="0" borderId="22" xfId="4" applyNumberFormat="1" applyFont="1" applyFill="1" applyBorder="1" applyAlignment="1">
      <alignment horizontal="right"/>
    </xf>
    <xf numFmtId="168" fontId="12" fillId="0" borderId="82" xfId="4" applyNumberFormat="1" applyFont="1" applyBorder="1" applyAlignment="1">
      <alignment horizontal="right"/>
    </xf>
    <xf numFmtId="168" fontId="16" fillId="0" borderId="80" xfId="4" applyNumberFormat="1" applyFont="1" applyBorder="1" applyAlignment="1">
      <alignment horizontal="right"/>
    </xf>
    <xf numFmtId="168" fontId="16" fillId="7" borderId="0" xfId="4" applyNumberFormat="1" applyFont="1" applyFill="1" applyBorder="1" applyAlignment="1">
      <alignment horizontal="right"/>
    </xf>
    <xf numFmtId="168" fontId="12" fillId="0" borderId="12" xfId="4" applyNumberFormat="1" applyFont="1" applyFill="1" applyBorder="1" applyAlignment="1">
      <alignment horizontal="right"/>
    </xf>
    <xf numFmtId="168" fontId="12" fillId="4" borderId="72" xfId="4" applyNumberFormat="1" applyFont="1" applyFill="1" applyBorder="1" applyAlignment="1">
      <alignment horizontal="right"/>
    </xf>
    <xf numFmtId="168" fontId="12" fillId="4" borderId="41" xfId="4" applyNumberFormat="1" applyFont="1" applyFill="1" applyBorder="1" applyAlignment="1">
      <alignment horizontal="right"/>
    </xf>
    <xf numFmtId="168" fontId="12" fillId="4" borderId="73" xfId="4" applyNumberFormat="1" applyFont="1" applyFill="1" applyBorder="1" applyAlignment="1">
      <alignment horizontal="right"/>
    </xf>
    <xf numFmtId="168" fontId="12" fillId="5" borderId="72" xfId="4" applyNumberFormat="1" applyFont="1" applyFill="1" applyBorder="1" applyAlignment="1">
      <alignment horizontal="right"/>
    </xf>
    <xf numFmtId="168" fontId="12" fillId="5" borderId="41" xfId="4" applyNumberFormat="1" applyFont="1" applyFill="1" applyBorder="1" applyAlignment="1">
      <alignment horizontal="right"/>
    </xf>
    <xf numFmtId="168" fontId="12" fillId="6" borderId="72" xfId="4" applyNumberFormat="1" applyFont="1" applyFill="1" applyBorder="1" applyAlignment="1">
      <alignment horizontal="right"/>
    </xf>
    <xf numFmtId="168" fontId="12" fillId="6" borderId="73" xfId="4" applyNumberFormat="1" applyFont="1" applyFill="1" applyBorder="1" applyAlignment="1">
      <alignment horizontal="right"/>
    </xf>
    <xf numFmtId="168" fontId="12" fillId="0" borderId="55" xfId="4" applyNumberFormat="1" applyFont="1" applyFill="1" applyBorder="1" applyAlignment="1">
      <alignment horizontal="right"/>
    </xf>
    <xf numFmtId="168" fontId="16" fillId="4" borderId="1" xfId="4" applyNumberFormat="1" applyFont="1" applyFill="1" applyBorder="1" applyAlignment="1">
      <alignment horizontal="right"/>
    </xf>
    <xf numFmtId="0" fontId="16" fillId="7" borderId="30" xfId="4" applyFont="1" applyFill="1" applyBorder="1" applyAlignment="1">
      <alignment horizontal="right"/>
    </xf>
    <xf numFmtId="0" fontId="12" fillId="4" borderId="75" xfId="4" applyFont="1" applyFill="1" applyBorder="1" applyAlignment="1">
      <alignment horizontal="right"/>
    </xf>
    <xf numFmtId="0" fontId="12" fillId="4" borderId="30" xfId="4" applyFont="1" applyFill="1" applyBorder="1" applyAlignment="1">
      <alignment horizontal="right"/>
    </xf>
    <xf numFmtId="0" fontId="12" fillId="4" borderId="4" xfId="3" applyFont="1" applyFill="1" applyBorder="1" applyAlignment="1">
      <alignment horizontal="right"/>
    </xf>
    <xf numFmtId="0" fontId="12" fillId="5" borderId="75" xfId="4" applyFont="1" applyFill="1" applyBorder="1" applyAlignment="1">
      <alignment horizontal="right"/>
    </xf>
    <xf numFmtId="0" fontId="12" fillId="5" borderId="30" xfId="4" applyFont="1" applyFill="1" applyBorder="1" applyAlignment="1">
      <alignment horizontal="right"/>
    </xf>
    <xf numFmtId="0" fontId="12" fillId="6" borderId="75" xfId="4" applyFont="1" applyFill="1" applyBorder="1" applyAlignment="1">
      <alignment horizontal="right"/>
    </xf>
    <xf numFmtId="0" fontId="12" fillId="6" borderId="45" xfId="4" applyFont="1" applyFill="1" applyBorder="1" applyAlignment="1">
      <alignment horizontal="right"/>
    </xf>
    <xf numFmtId="0" fontId="12" fillId="4" borderId="3" xfId="4" applyFont="1" applyFill="1" applyBorder="1" applyAlignment="1">
      <alignment horizontal="right"/>
    </xf>
    <xf numFmtId="0" fontId="12" fillId="4" borderId="2" xfId="4" applyFont="1" applyFill="1" applyBorder="1" applyAlignment="1">
      <alignment horizontal="right"/>
    </xf>
    <xf numFmtId="0" fontId="16" fillId="4" borderId="45" xfId="4" applyFont="1" applyFill="1" applyBorder="1" applyAlignment="1">
      <alignment horizontal="right"/>
    </xf>
    <xf numFmtId="0" fontId="12" fillId="5" borderId="3" xfId="4" applyFont="1" applyFill="1" applyBorder="1" applyAlignment="1">
      <alignment horizontal="right"/>
    </xf>
    <xf numFmtId="0" fontId="12" fillId="5" borderId="2" xfId="4" applyFont="1" applyFill="1" applyBorder="1" applyAlignment="1">
      <alignment horizontal="right"/>
    </xf>
    <xf numFmtId="0" fontId="12" fillId="6" borderId="3" xfId="4" applyFont="1" applyFill="1" applyBorder="1" applyAlignment="1">
      <alignment horizontal="right"/>
    </xf>
    <xf numFmtId="0" fontId="12" fillId="6" borderId="1" xfId="4" applyFont="1" applyFill="1" applyBorder="1" applyAlignment="1">
      <alignment horizontal="right"/>
    </xf>
    <xf numFmtId="8" fontId="16" fillId="0" borderId="67" xfId="4" applyNumberFormat="1" applyFont="1" applyBorder="1" applyAlignment="1">
      <alignment horizontal="right"/>
    </xf>
    <xf numFmtId="10" fontId="16" fillId="0" borderId="80" xfId="4" applyNumberFormat="1" applyFont="1" applyBorder="1" applyAlignment="1">
      <alignment horizontal="right"/>
    </xf>
    <xf numFmtId="10" fontId="16" fillId="0" borderId="86" xfId="4" applyNumberFormat="1" applyFont="1" applyBorder="1" applyAlignment="1">
      <alignment horizontal="right"/>
    </xf>
    <xf numFmtId="168" fontId="16" fillId="0" borderId="2" xfId="4" applyNumberFormat="1" applyFont="1" applyFill="1" applyBorder="1"/>
    <xf numFmtId="168" fontId="16" fillId="0" borderId="10" xfId="4" applyNumberFormat="1" applyFont="1" applyFill="1" applyBorder="1"/>
    <xf numFmtId="164" fontId="12" fillId="7" borderId="41" xfId="1" applyNumberFormat="1" applyFont="1" applyFill="1" applyBorder="1" applyAlignment="1">
      <alignment horizontal="right"/>
    </xf>
    <xf numFmtId="164" fontId="12" fillId="4" borderId="72" xfId="1" applyNumberFormat="1" applyFont="1" applyFill="1" applyBorder="1"/>
    <xf numFmtId="164" fontId="12" fillId="4" borderId="41" xfId="1" applyNumberFormat="1" applyFont="1" applyFill="1" applyBorder="1"/>
    <xf numFmtId="164" fontId="12" fillId="4" borderId="73" xfId="1" applyNumberFormat="1" applyFont="1" applyFill="1" applyBorder="1"/>
    <xf numFmtId="164" fontId="12" fillId="5" borderId="72" xfId="1" applyNumberFormat="1" applyFont="1" applyFill="1" applyBorder="1"/>
    <xf numFmtId="164" fontId="12" fillId="5" borderId="73" xfId="1" applyNumberFormat="1" applyFont="1" applyFill="1" applyBorder="1"/>
    <xf numFmtId="164" fontId="12" fillId="6" borderId="72" xfId="1" applyNumberFormat="1" applyFont="1" applyFill="1" applyBorder="1"/>
    <xf numFmtId="164" fontId="12" fillId="6" borderId="73" xfId="1" applyNumberFormat="1" applyFont="1" applyFill="1" applyBorder="1"/>
    <xf numFmtId="164" fontId="12" fillId="0" borderId="55" xfId="1" applyNumberFormat="1" applyFont="1" applyFill="1" applyBorder="1"/>
    <xf numFmtId="164" fontId="12" fillId="7" borderId="43" xfId="1" applyNumberFormat="1" applyFont="1" applyFill="1" applyBorder="1" applyAlignment="1">
      <alignment horizontal="right"/>
    </xf>
    <xf numFmtId="164" fontId="16" fillId="7" borderId="10" xfId="1" applyNumberFormat="1" applyFont="1" applyFill="1" applyBorder="1" applyAlignment="1">
      <alignment horizontal="right"/>
    </xf>
    <xf numFmtId="164" fontId="16" fillId="4" borderId="84" xfId="1" applyNumberFormat="1" applyFont="1" applyFill="1" applyBorder="1"/>
    <xf numFmtId="164" fontId="16" fillId="4" borderId="65" xfId="1" applyNumberFormat="1" applyFont="1" applyFill="1" applyBorder="1"/>
    <xf numFmtId="164" fontId="16" fillId="4" borderId="85" xfId="1" applyNumberFormat="1" applyFont="1" applyFill="1" applyBorder="1"/>
    <xf numFmtId="164" fontId="16" fillId="5" borderId="84" xfId="1" applyNumberFormat="1" applyFont="1" applyFill="1" applyBorder="1"/>
    <xf numFmtId="164" fontId="16" fillId="5" borderId="85" xfId="1" applyNumberFormat="1" applyFont="1" applyFill="1" applyBorder="1"/>
    <xf numFmtId="164" fontId="16" fillId="6" borderId="84" xfId="1" applyNumberFormat="1" applyFont="1" applyFill="1" applyBorder="1"/>
    <xf numFmtId="164" fontId="16" fillId="6" borderId="85" xfId="1" applyNumberFormat="1" applyFont="1" applyFill="1" applyBorder="1"/>
    <xf numFmtId="164" fontId="16" fillId="0" borderId="66" xfId="1" applyNumberFormat="1" applyFont="1" applyFill="1" applyBorder="1"/>
    <xf numFmtId="0" fontId="16" fillId="0" borderId="10" xfId="4" applyFont="1" applyBorder="1" applyAlignment="1">
      <alignment horizontal="center"/>
    </xf>
    <xf numFmtId="168" fontId="12" fillId="0" borderId="51" xfId="4" applyNumberFormat="1" applyFont="1" applyFill="1" applyBorder="1" applyAlignment="1">
      <alignment horizontal="right" indent="1"/>
    </xf>
    <xf numFmtId="168" fontId="12" fillId="0" borderId="55" xfId="4" applyNumberFormat="1" applyFont="1" applyFill="1" applyBorder="1" applyAlignment="1">
      <alignment horizontal="right" indent="1"/>
    </xf>
    <xf numFmtId="168" fontId="12" fillId="0" borderId="64" xfId="4" applyNumberFormat="1" applyFont="1" applyFill="1" applyBorder="1" applyAlignment="1">
      <alignment horizontal="right" indent="1"/>
    </xf>
    <xf numFmtId="168" fontId="12" fillId="0" borderId="42" xfId="4" applyNumberFormat="1" applyFont="1" applyFill="1" applyBorder="1" applyAlignment="1">
      <alignment horizontal="right"/>
    </xf>
    <xf numFmtId="168" fontId="12" fillId="0" borderId="41" xfId="4" applyNumberFormat="1" applyFont="1" applyFill="1" applyBorder="1" applyAlignment="1">
      <alignment horizontal="right"/>
    </xf>
    <xf numFmtId="168" fontId="12" fillId="0" borderId="2" xfId="4" applyNumberFormat="1" applyFont="1" applyFill="1" applyBorder="1" applyAlignment="1">
      <alignment horizontal="right"/>
    </xf>
    <xf numFmtId="167" fontId="12" fillId="0" borderId="40" xfId="4" applyNumberFormat="1" applyFont="1" applyFill="1" applyBorder="1" applyAlignment="1">
      <alignment horizontal="left" indent="1"/>
    </xf>
    <xf numFmtId="167" fontId="12" fillId="7" borderId="40" xfId="4" applyNumberFormat="1" applyFont="1" applyFill="1" applyBorder="1" applyAlignment="1">
      <alignment horizontal="left" indent="1"/>
    </xf>
    <xf numFmtId="167" fontId="12" fillId="0" borderId="41" xfId="4" applyNumberFormat="1" applyFont="1" applyFill="1" applyBorder="1" applyAlignment="1">
      <alignment horizontal="left" indent="1"/>
    </xf>
    <xf numFmtId="167" fontId="12" fillId="7" borderId="41" xfId="4" applyNumberFormat="1" applyFont="1" applyFill="1" applyBorder="1" applyAlignment="1">
      <alignment horizontal="left" indent="1"/>
    </xf>
    <xf numFmtId="167" fontId="12" fillId="7" borderId="44" xfId="4" applyNumberFormat="1" applyFont="1" applyFill="1" applyBorder="1" applyAlignment="1">
      <alignment horizontal="left" indent="1"/>
    </xf>
    <xf numFmtId="167" fontId="12" fillId="0" borderId="0" xfId="4" applyNumberFormat="1" applyFont="1" applyFill="1" applyBorder="1" applyAlignment="1">
      <alignment horizontal="left" indent="1"/>
    </xf>
    <xf numFmtId="167" fontId="16" fillId="7" borderId="0" xfId="4" applyNumberFormat="1" applyFont="1" applyFill="1" applyBorder="1" applyAlignment="1">
      <alignment horizontal="left" indent="1"/>
    </xf>
    <xf numFmtId="167" fontId="20" fillId="0" borderId="32" xfId="4" applyNumberFormat="1" applyFont="1" applyFill="1" applyBorder="1" applyAlignment="1">
      <alignment horizontal="left" indent="1"/>
    </xf>
    <xf numFmtId="167" fontId="16" fillId="7" borderId="10" xfId="4" applyNumberFormat="1" applyFont="1" applyFill="1" applyBorder="1" applyAlignment="1">
      <alignment horizontal="left" indent="1"/>
    </xf>
    <xf numFmtId="167" fontId="12" fillId="0" borderId="32" xfId="4" applyNumberFormat="1" applyFont="1" applyFill="1" applyBorder="1" applyAlignment="1">
      <alignment horizontal="left" indent="1"/>
    </xf>
    <xf numFmtId="168" fontId="12" fillId="0" borderId="40" xfId="4" applyNumberFormat="1" applyFont="1" applyFill="1" applyBorder="1" applyAlignment="1">
      <alignment horizontal="right" indent="1"/>
    </xf>
    <xf numFmtId="168" fontId="12" fillId="0" borderId="41" xfId="4" applyNumberFormat="1" applyFont="1" applyFill="1" applyBorder="1" applyAlignment="1">
      <alignment horizontal="right" indent="1"/>
    </xf>
    <xf numFmtId="168" fontId="12" fillId="0" borderId="53" xfId="4" applyNumberFormat="1" applyFont="1" applyBorder="1" applyAlignment="1">
      <alignment horizontal="right" indent="1"/>
    </xf>
    <xf numFmtId="168" fontId="12" fillId="0" borderId="55" xfId="4" applyNumberFormat="1" applyFont="1" applyBorder="1" applyAlignment="1">
      <alignment horizontal="right" indent="1"/>
    </xf>
    <xf numFmtId="168" fontId="16" fillId="0" borderId="12" xfId="4" applyNumberFormat="1" applyFont="1" applyBorder="1" applyAlignment="1">
      <alignment horizontal="right" indent="1"/>
    </xf>
    <xf numFmtId="168" fontId="16" fillId="0" borderId="34" xfId="4" applyNumberFormat="1" applyFont="1" applyBorder="1" applyAlignment="1">
      <alignment horizontal="right" indent="1"/>
    </xf>
    <xf numFmtId="168" fontId="12" fillId="0" borderId="42" xfId="4" applyNumberFormat="1" applyFont="1" applyBorder="1"/>
    <xf numFmtId="168" fontId="12" fillId="0" borderId="40" xfId="4" applyNumberFormat="1" applyFont="1" applyBorder="1" applyAlignment="1"/>
    <xf numFmtId="168" fontId="12" fillId="0" borderId="40" xfId="4" applyNumberFormat="1" applyFont="1" applyBorder="1" applyAlignment="1">
      <alignment horizontal="right"/>
    </xf>
    <xf numFmtId="168" fontId="12" fillId="0" borderId="41" xfId="4" applyNumberFormat="1" applyFont="1" applyBorder="1" applyAlignment="1"/>
    <xf numFmtId="168" fontId="12" fillId="0" borderId="2" xfId="4" applyNumberFormat="1" applyFont="1" applyBorder="1" applyAlignment="1"/>
    <xf numFmtId="168" fontId="12" fillId="0" borderId="42" xfId="4" applyNumberFormat="1" applyFont="1" applyBorder="1" applyAlignment="1"/>
    <xf numFmtId="168" fontId="12" fillId="0" borderId="44" xfId="4" applyNumberFormat="1" applyFont="1" applyBorder="1" applyAlignment="1"/>
    <xf numFmtId="168" fontId="12" fillId="0" borderId="32" xfId="4" applyNumberFormat="1" applyFont="1" applyBorder="1" applyAlignment="1"/>
    <xf numFmtId="0" fontId="12" fillId="0" borderId="58" xfId="4" applyFont="1" applyBorder="1" applyAlignment="1">
      <alignment horizontal="left" vertical="center"/>
    </xf>
    <xf numFmtId="169" fontId="12" fillId="0" borderId="55" xfId="2" applyNumberFormat="1" applyFont="1" applyBorder="1" applyAlignment="1"/>
    <xf numFmtId="169" fontId="12" fillId="0" borderId="34" xfId="4" applyNumberFormat="1" applyFont="1" applyBorder="1" applyAlignment="1"/>
  </cellXfs>
  <cellStyles count="5">
    <cellStyle name="Comma" xfId="1" builtinId="3"/>
    <cellStyle name="Normal" xfId="0" builtinId="0"/>
    <cellStyle name="Normal 2" xfId="4" xr:uid="{00000000-0005-0000-0000-000030000000}"/>
    <cellStyle name="Normal 3" xfId="3" xr:uid="{00000000-0005-0000-0000-00002F000000}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EAF7B"/>
      <color rgb="FFCCCB87"/>
      <color rgb="FF8CBAB3"/>
      <color rgb="FF2F648C"/>
      <color rgb="FF2BAEAA"/>
      <color rgb="FF271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339D-6044-49E5-995C-DE6FAD79A7DB}">
  <sheetPr>
    <pageSetUpPr fitToPage="1"/>
  </sheetPr>
  <dimension ref="A1:N108"/>
  <sheetViews>
    <sheetView tabSelected="1" view="pageLayout" zoomScaleNormal="100" workbookViewId="0"/>
    <sheetView workbookViewId="1"/>
  </sheetViews>
  <sheetFormatPr defaultRowHeight="12" x14ac:dyDescent="0.2"/>
  <cols>
    <col min="1" max="1" width="10" style="1" customWidth="1"/>
    <col min="2" max="2" width="21.42578125" style="1" customWidth="1"/>
    <col min="3" max="3" width="12.28515625" style="1" bestFit="1" customWidth="1"/>
    <col min="4" max="4" width="10.140625" style="1" hidden="1" customWidth="1"/>
    <col min="5" max="5" width="9.5703125" style="1" hidden="1" customWidth="1"/>
    <col min="6" max="6" width="11" style="1" bestFit="1" customWidth="1"/>
    <col min="7" max="14" width="12.7109375" style="1" customWidth="1"/>
    <col min="15" max="16384" width="9.140625" style="1"/>
  </cols>
  <sheetData>
    <row r="1" spans="1:14" ht="15" x14ac:dyDescent="0.2">
      <c r="A1" s="412" t="s">
        <v>410</v>
      </c>
      <c r="B1" s="407"/>
      <c r="C1" s="408"/>
      <c r="D1" s="407"/>
      <c r="E1" s="407"/>
      <c r="F1" s="409"/>
      <c r="G1" s="409"/>
      <c r="H1" s="409"/>
      <c r="I1" s="409"/>
      <c r="J1" s="409"/>
      <c r="K1" s="409"/>
      <c r="L1" s="409"/>
      <c r="M1" s="410" t="s">
        <v>411</v>
      </c>
      <c r="N1" s="411">
        <v>181430</v>
      </c>
    </row>
    <row r="2" spans="1:14" ht="15" customHeight="1" x14ac:dyDescent="0.2">
      <c r="A2" s="364"/>
      <c r="B2" s="316"/>
      <c r="C2" s="527" t="s">
        <v>412</v>
      </c>
      <c r="D2" s="476" t="s">
        <v>535</v>
      </c>
      <c r="E2" s="476" t="s">
        <v>535</v>
      </c>
      <c r="F2" s="477" t="s">
        <v>62</v>
      </c>
      <c r="G2" s="478"/>
      <c r="H2" s="478"/>
      <c r="I2" s="478"/>
      <c r="J2" s="499" t="s">
        <v>61</v>
      </c>
      <c r="K2" s="525"/>
      <c r="L2" s="491" t="s">
        <v>60</v>
      </c>
      <c r="M2" s="492"/>
      <c r="N2" s="471" t="s">
        <v>536</v>
      </c>
    </row>
    <row r="3" spans="1:14" x14ac:dyDescent="0.2">
      <c r="A3" s="366"/>
      <c r="B3" s="317"/>
      <c r="C3" s="528" t="s">
        <v>413</v>
      </c>
      <c r="D3" s="437">
        <v>2018</v>
      </c>
      <c r="E3" s="437">
        <f>D3+1</f>
        <v>2019</v>
      </c>
      <c r="F3" s="480">
        <f t="shared" ref="F3:N3" si="0">E3+1</f>
        <v>2020</v>
      </c>
      <c r="G3" s="481">
        <f t="shared" si="0"/>
        <v>2021</v>
      </c>
      <c r="H3" s="481">
        <f t="shared" si="0"/>
        <v>2022</v>
      </c>
      <c r="I3" s="481">
        <f t="shared" si="0"/>
        <v>2023</v>
      </c>
      <c r="J3" s="501">
        <f t="shared" si="0"/>
        <v>2024</v>
      </c>
      <c r="K3" s="570">
        <f t="shared" si="0"/>
        <v>2025</v>
      </c>
      <c r="L3" s="493">
        <f t="shared" si="0"/>
        <v>2026</v>
      </c>
      <c r="M3" s="494">
        <f t="shared" si="0"/>
        <v>2027</v>
      </c>
      <c r="N3" s="367">
        <f t="shared" si="0"/>
        <v>2028</v>
      </c>
    </row>
    <row r="4" spans="1:14" x14ac:dyDescent="0.2">
      <c r="A4" s="368" t="s">
        <v>414</v>
      </c>
      <c r="B4" s="319"/>
      <c r="C4" s="529"/>
      <c r="D4" s="438"/>
      <c r="E4" s="438"/>
      <c r="F4" s="482"/>
      <c r="G4" s="483"/>
      <c r="H4" s="483"/>
      <c r="I4" s="483"/>
      <c r="J4" s="502"/>
      <c r="K4" s="571"/>
      <c r="L4" s="495"/>
      <c r="M4" s="496"/>
      <c r="N4" s="369"/>
    </row>
    <row r="5" spans="1:14" x14ac:dyDescent="0.2">
      <c r="A5" s="459" t="s">
        <v>415</v>
      </c>
      <c r="B5" s="323" t="s">
        <v>416</v>
      </c>
      <c r="C5" s="595">
        <f>SUM(D5:E5)</f>
        <v>0</v>
      </c>
      <c r="D5" s="565">
        <f>'CashFlow-ResRental'!D42+'CashFlow-ResRental'!D98+'CashFlow-ResRental'!D154</f>
        <v>0</v>
      </c>
      <c r="E5" s="565">
        <f>'CashFlow-ResRental'!E42+'CashFlow-ResRental'!E98+'CashFlow-ResRental'!E154</f>
        <v>0</v>
      </c>
      <c r="F5" s="566">
        <f>'CashFlow-ResRental'!F42+'CashFlow-ResRental'!F98+'CashFlow-ResRental'!F154</f>
        <v>0</v>
      </c>
      <c r="G5" s="567">
        <f>'CashFlow-ResRental'!G42+'CashFlow-ResRental'!G98+'CashFlow-ResRental'!G154</f>
        <v>0</v>
      </c>
      <c r="H5" s="567">
        <f>'CashFlow-ResRental'!H42+'CashFlow-ResRental'!H98+'CashFlow-ResRental'!H154</f>
        <v>0</v>
      </c>
      <c r="I5" s="567">
        <f>'CashFlow-ResRental'!I42+'CashFlow-ResRental'!I98+'CashFlow-ResRental'!I154</f>
        <v>0</v>
      </c>
      <c r="J5" s="568">
        <f>'CashFlow-ResRental'!J42+'CashFlow-ResRental'!J98+'CashFlow-ResRental'!J154</f>
        <v>2082423.2844100157</v>
      </c>
      <c r="K5" s="572">
        <f>'CashFlow-ResRental'!K42+'CashFlow-ResRental'!K98+'CashFlow-ResRental'!K154</f>
        <v>2943977.5280416179</v>
      </c>
      <c r="L5" s="573">
        <f>'CashFlow-ResRental'!L42+'CashFlow-ResRental'!L98+'CashFlow-ResRental'!L154</f>
        <v>5084740.516742507</v>
      </c>
      <c r="M5" s="574">
        <f>'CashFlow-ResRental'!M42+'CashFlow-ResRental'!M98+'CashFlow-ResRental'!M154</f>
        <v>6023149.9829887263</v>
      </c>
      <c r="N5" s="569">
        <f>'CashFlow-ResRental'!N42+'CashFlow-ResRental'!N98+'CashFlow-ResRental'!N154</f>
        <v>6199602.237625232</v>
      </c>
    </row>
    <row r="6" spans="1:14" x14ac:dyDescent="0.2">
      <c r="A6" s="460"/>
      <c r="B6" s="323" t="s">
        <v>417</v>
      </c>
      <c r="C6" s="583" t="s">
        <v>545</v>
      </c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5"/>
    </row>
    <row r="7" spans="1:14" x14ac:dyDescent="0.2">
      <c r="A7" s="532" t="s">
        <v>418</v>
      </c>
      <c r="B7" s="323" t="s">
        <v>416</v>
      </c>
      <c r="C7" s="595">
        <f t="shared" ref="C7:C23" si="1">SUM(D7:E7)</f>
        <v>0</v>
      </c>
      <c r="D7" s="565">
        <v>0</v>
      </c>
      <c r="E7" s="565">
        <v>0</v>
      </c>
      <c r="F7" s="566">
        <v>0</v>
      </c>
      <c r="G7" s="567">
        <v>0</v>
      </c>
      <c r="H7" s="567">
        <v>0</v>
      </c>
      <c r="I7" s="567">
        <v>0</v>
      </c>
      <c r="J7" s="568">
        <v>0</v>
      </c>
      <c r="K7" s="572">
        <v>0</v>
      </c>
      <c r="L7" s="573">
        <v>0</v>
      </c>
      <c r="M7" s="574">
        <v>0</v>
      </c>
      <c r="N7" s="569">
        <v>0</v>
      </c>
    </row>
    <row r="8" spans="1:14" x14ac:dyDescent="0.2">
      <c r="A8" s="459" t="s">
        <v>253</v>
      </c>
      <c r="B8" s="323" t="s">
        <v>416</v>
      </c>
      <c r="C8" s="583" t="s">
        <v>544</v>
      </c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5"/>
    </row>
    <row r="9" spans="1:14" x14ac:dyDescent="0.2">
      <c r="A9" s="460"/>
      <c r="B9" s="323" t="s">
        <v>417</v>
      </c>
      <c r="C9" s="583" t="s">
        <v>545</v>
      </c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5"/>
    </row>
    <row r="10" spans="1:14" x14ac:dyDescent="0.2">
      <c r="A10" s="533" t="s">
        <v>419</v>
      </c>
      <c r="B10" s="322"/>
      <c r="C10" s="595">
        <f t="shared" si="1"/>
        <v>0</v>
      </c>
      <c r="D10" s="565">
        <f>'CashFlow-Office'!D38+'CashFlow-Office'!D88+'CashFlow-Office'!D138</f>
        <v>0</v>
      </c>
      <c r="E10" s="565">
        <f>'CashFlow-Office'!E38+'CashFlow-Office'!E88+'CashFlow-Office'!E138</f>
        <v>0</v>
      </c>
      <c r="F10" s="566">
        <f>'CashFlow-Office'!F38+'CashFlow-Office'!F88+'CashFlow-Office'!F138</f>
        <v>0</v>
      </c>
      <c r="G10" s="567">
        <f>'CashFlow-Office'!G38+'CashFlow-Office'!G88+'CashFlow-Office'!G138</f>
        <v>0</v>
      </c>
      <c r="H10" s="567">
        <f>'CashFlow-Office'!H38+'CashFlow-Office'!H88+'CashFlow-Office'!H138</f>
        <v>17092982.210182007</v>
      </c>
      <c r="I10" s="567">
        <f>'CashFlow-Office'!I38+'CashFlow-Office'!I88+'CashFlow-Office'!I138</f>
        <v>29334629.952864803</v>
      </c>
      <c r="J10" s="568">
        <f>'CashFlow-Office'!J38+'CashFlow-Office'!J88+'CashFlow-Office'!J138</f>
        <v>42771605.510347649</v>
      </c>
      <c r="K10" s="572">
        <f>'CashFlow-Office'!K38+'CashFlow-Office'!K88+'CashFlow-Office'!K138</f>
        <v>52671069.345250115</v>
      </c>
      <c r="L10" s="573">
        <f>'CashFlow-Office'!L38+'CashFlow-Office'!L88+'CashFlow-Office'!L138</f>
        <v>54251201.425607592</v>
      </c>
      <c r="M10" s="574">
        <f>'CashFlow-Office'!M38+'CashFlow-Office'!M88+'CashFlow-Office'!M138</f>
        <v>55878737.468375839</v>
      </c>
      <c r="N10" s="569">
        <f>'CashFlow-Office'!N38+'CashFlow-Office'!N88+'CashFlow-Office'!N138</f>
        <v>57555099.592427105</v>
      </c>
    </row>
    <row r="11" spans="1:14" x14ac:dyDescent="0.2">
      <c r="A11" s="533" t="s">
        <v>420</v>
      </c>
      <c r="B11" s="322"/>
      <c r="C11" s="595">
        <f t="shared" si="1"/>
        <v>0</v>
      </c>
      <c r="D11" s="565">
        <f>'CashFlow-Retail'!D42+'CashFlow-Retail'!D96+'CashFlow-Retail'!D150</f>
        <v>0</v>
      </c>
      <c r="E11" s="565">
        <f>'CashFlow-Retail'!E42+'CashFlow-Retail'!E96+'CashFlow-Retail'!E150</f>
        <v>0</v>
      </c>
      <c r="F11" s="566">
        <f>'CashFlow-Retail'!F42+'CashFlow-Retail'!F96+'CashFlow-Retail'!F150</f>
        <v>0</v>
      </c>
      <c r="G11" s="567">
        <f>'CashFlow-Retail'!G42+'CashFlow-Retail'!G96+'CashFlow-Retail'!G150</f>
        <v>0</v>
      </c>
      <c r="H11" s="567">
        <f>'CashFlow-Retail'!H42+'CashFlow-Retail'!H96+'CashFlow-Retail'!H150</f>
        <v>1617956.4163285492</v>
      </c>
      <c r="I11" s="567">
        <f>'CashFlow-Retail'!I42+'CashFlow-Retail'!I96+'CashFlow-Retail'!I150</f>
        <v>2538248.2298312606</v>
      </c>
      <c r="J11" s="568">
        <f>'CashFlow-Retail'!J42+'CashFlow-Retail'!J96+'CashFlow-Retail'!J150</f>
        <v>6374069.0555051323</v>
      </c>
      <c r="K11" s="572">
        <f>'CashFlow-Retail'!K42+'CashFlow-Retail'!K96+'CashFlow-Retail'!K150</f>
        <v>6949039.1225029295</v>
      </c>
      <c r="L11" s="573">
        <f>'CashFlow-Retail'!L42+'CashFlow-Retail'!L96+'CashFlow-Retail'!L150</f>
        <v>12115711.961251829</v>
      </c>
      <c r="M11" s="574">
        <f>'CashFlow-Retail'!M42+'CashFlow-Retail'!M96+'CashFlow-Retail'!M150</f>
        <v>14340098.915758478</v>
      </c>
      <c r="N11" s="569">
        <f>'CashFlow-Retail'!N42+'CashFlow-Retail'!N96+'CashFlow-Retail'!N150</f>
        <v>14770301.88323123</v>
      </c>
    </row>
    <row r="12" spans="1:14" x14ac:dyDescent="0.2">
      <c r="A12" s="533" t="s">
        <v>421</v>
      </c>
      <c r="B12" s="323"/>
      <c r="C12" s="583" t="s">
        <v>543</v>
      </c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5"/>
    </row>
    <row r="13" spans="1:14" x14ac:dyDescent="0.2">
      <c r="A13" s="533" t="s">
        <v>73</v>
      </c>
      <c r="B13" s="322"/>
      <c r="C13" s="595">
        <f t="shared" si="1"/>
        <v>0</v>
      </c>
      <c r="D13" s="565">
        <f>'CashFlow-Hotel'!D56+'CashFlow-Hotel'!D121+'CashFlow-Hotel'!D186</f>
        <v>0</v>
      </c>
      <c r="E13" s="565">
        <f>'CashFlow-Hotel'!E56+'CashFlow-Hotel'!E121+'CashFlow-Hotel'!E186</f>
        <v>0</v>
      </c>
      <c r="F13" s="566">
        <f>'CashFlow-Hotel'!F56+'CashFlow-Hotel'!F121+'CashFlow-Hotel'!F186</f>
        <v>0</v>
      </c>
      <c r="G13" s="567">
        <f>'CashFlow-Hotel'!G56+'CashFlow-Hotel'!G121+'CashFlow-Hotel'!G186</f>
        <v>0</v>
      </c>
      <c r="H13" s="567">
        <f>'CashFlow-Hotel'!H56+'CashFlow-Hotel'!H121+'CashFlow-Hotel'!H186</f>
        <v>0</v>
      </c>
      <c r="I13" s="567">
        <f>'CashFlow-Hotel'!I56+'CashFlow-Hotel'!I121+'CashFlow-Hotel'!I186</f>
        <v>0</v>
      </c>
      <c r="J13" s="568">
        <f>'CashFlow-Hotel'!J56+'CashFlow-Hotel'!J121+'CashFlow-Hotel'!J186</f>
        <v>0</v>
      </c>
      <c r="K13" s="572">
        <f>'CashFlow-Hotel'!K56+'CashFlow-Hotel'!K121+'CashFlow-Hotel'!K186</f>
        <v>0</v>
      </c>
      <c r="L13" s="573">
        <f>'CashFlow-Hotel'!L56+'CashFlow-Hotel'!L121+'CashFlow-Hotel'!L186</f>
        <v>27900582.54023546</v>
      </c>
      <c r="M13" s="574">
        <f>'CashFlow-Hotel'!M56+'CashFlow-Hotel'!M121+'CashFlow-Hotel'!M186</f>
        <v>28737600.01644253</v>
      </c>
      <c r="N13" s="569">
        <f>'CashFlow-Hotel'!N56+'CashFlow-Hotel'!N121+'CashFlow-Hotel'!N186</f>
        <v>29848867.939045899</v>
      </c>
    </row>
    <row r="14" spans="1:14" x14ac:dyDescent="0.2">
      <c r="A14" s="533" t="s">
        <v>422</v>
      </c>
      <c r="B14" s="322"/>
      <c r="C14" s="595">
        <f t="shared" si="1"/>
        <v>0</v>
      </c>
      <c r="D14" s="565">
        <v>0</v>
      </c>
      <c r="E14" s="565">
        <v>0</v>
      </c>
      <c r="F14" s="566">
        <v>0</v>
      </c>
      <c r="G14" s="567">
        <v>0</v>
      </c>
      <c r="H14" s="567">
        <v>0</v>
      </c>
      <c r="I14" s="567">
        <v>0</v>
      </c>
      <c r="J14" s="568">
        <v>0</v>
      </c>
      <c r="K14" s="572">
        <v>0</v>
      </c>
      <c r="L14" s="573">
        <v>0</v>
      </c>
      <c r="M14" s="574">
        <v>0</v>
      </c>
      <c r="N14" s="569">
        <v>0</v>
      </c>
    </row>
    <row r="15" spans="1:14" x14ac:dyDescent="0.2">
      <c r="A15" s="533" t="s">
        <v>423</v>
      </c>
      <c r="B15" s="322"/>
      <c r="C15" s="595">
        <f t="shared" si="1"/>
        <v>0</v>
      </c>
      <c r="D15" s="565">
        <v>0</v>
      </c>
      <c r="E15" s="565">
        <v>0</v>
      </c>
      <c r="F15" s="566">
        <v>0</v>
      </c>
      <c r="G15" s="567">
        <v>0</v>
      </c>
      <c r="H15" s="567">
        <v>0</v>
      </c>
      <c r="I15" s="567">
        <v>0</v>
      </c>
      <c r="J15" s="568">
        <v>0</v>
      </c>
      <c r="K15" s="572">
        <v>0</v>
      </c>
      <c r="L15" s="573">
        <v>0</v>
      </c>
      <c r="M15" s="574">
        <v>0</v>
      </c>
      <c r="N15" s="569">
        <v>0</v>
      </c>
    </row>
    <row r="16" spans="1:14" x14ac:dyDescent="0.2">
      <c r="A16" s="533" t="s">
        <v>424</v>
      </c>
      <c r="B16" s="322"/>
      <c r="C16" s="595">
        <f t="shared" si="1"/>
        <v>0</v>
      </c>
      <c r="D16" s="565">
        <f>'CashFlow-Parking'!D18+'CashFlow-Parking'!D49</f>
        <v>0</v>
      </c>
      <c r="E16" s="565">
        <f>'CashFlow-Parking'!E18+'CashFlow-Parking'!E49</f>
        <v>0</v>
      </c>
      <c r="F16" s="566">
        <f>'CashFlow-Parking'!F18+'CashFlow-Parking'!F49</f>
        <v>0</v>
      </c>
      <c r="G16" s="567">
        <f>'CashFlow-Parking'!G18+'CashFlow-Parking'!G49</f>
        <v>0</v>
      </c>
      <c r="H16" s="567">
        <f>'CashFlow-Parking'!H18+'CashFlow-Parking'!H49</f>
        <v>18808.917480750002</v>
      </c>
      <c r="I16" s="567">
        <f>'CashFlow-Parking'!I18+'CashFlow-Parking'!I49</f>
        <v>18997.006655557499</v>
      </c>
      <c r="J16" s="568">
        <f>'CashFlow-Parking'!J18+'CashFlow-Parking'!J49</f>
        <v>199910.78236193335</v>
      </c>
      <c r="K16" s="572">
        <f>'CashFlow-Parking'!K18+'CashFlow-Parking'!K49</f>
        <v>201909.89018555265</v>
      </c>
      <c r="L16" s="573">
        <f>'CashFlow-Parking'!L18+'CashFlow-Parking'!L49</f>
        <v>195726.34954227551</v>
      </c>
      <c r="M16" s="574">
        <f>'CashFlow-Parking'!M18+'CashFlow-Parking'!M49</f>
        <v>197683.61303769829</v>
      </c>
      <c r="N16" s="569">
        <f>'CashFlow-Parking'!N18+'CashFlow-Parking'!N49</f>
        <v>199660.44916807525</v>
      </c>
    </row>
    <row r="17" spans="1:14" x14ac:dyDescent="0.2">
      <c r="A17" s="533" t="s">
        <v>425</v>
      </c>
      <c r="B17" s="323"/>
      <c r="C17" s="595">
        <f t="shared" si="1"/>
        <v>0</v>
      </c>
      <c r="D17" s="565">
        <v>0</v>
      </c>
      <c r="E17" s="565">
        <v>0</v>
      </c>
      <c r="F17" s="566">
        <v>0</v>
      </c>
      <c r="G17" s="567">
        <v>0</v>
      </c>
      <c r="H17" s="567">
        <v>0</v>
      </c>
      <c r="I17" s="567">
        <v>0</v>
      </c>
      <c r="J17" s="568">
        <v>0</v>
      </c>
      <c r="K17" s="572">
        <v>0</v>
      </c>
      <c r="L17" s="573">
        <v>0</v>
      </c>
      <c r="M17" s="574">
        <v>0</v>
      </c>
      <c r="N17" s="569">
        <v>0</v>
      </c>
    </row>
    <row r="18" spans="1:14" x14ac:dyDescent="0.2">
      <c r="A18" s="533" t="s">
        <v>426</v>
      </c>
      <c r="B18" s="322"/>
      <c r="C18" s="595">
        <f t="shared" si="1"/>
        <v>0</v>
      </c>
      <c r="D18" s="565">
        <v>0</v>
      </c>
      <c r="E18" s="565">
        <v>0</v>
      </c>
      <c r="F18" s="566">
        <v>0</v>
      </c>
      <c r="G18" s="567">
        <v>0</v>
      </c>
      <c r="H18" s="567">
        <v>0</v>
      </c>
      <c r="I18" s="567">
        <v>0</v>
      </c>
      <c r="J18" s="568">
        <v>0</v>
      </c>
      <c r="K18" s="572">
        <v>0</v>
      </c>
      <c r="L18" s="573">
        <v>0</v>
      </c>
      <c r="M18" s="574">
        <v>0</v>
      </c>
      <c r="N18" s="569">
        <v>0</v>
      </c>
    </row>
    <row r="19" spans="1:14" x14ac:dyDescent="0.2">
      <c r="A19" s="533" t="s">
        <v>427</v>
      </c>
      <c r="B19" s="323"/>
      <c r="C19" s="595">
        <f t="shared" si="1"/>
        <v>0</v>
      </c>
      <c r="D19" s="565">
        <v>0</v>
      </c>
      <c r="E19" s="565">
        <v>0</v>
      </c>
      <c r="F19" s="566">
        <v>0</v>
      </c>
      <c r="G19" s="567">
        <v>0</v>
      </c>
      <c r="H19" s="567">
        <v>0</v>
      </c>
      <c r="I19" s="567">
        <v>0</v>
      </c>
      <c r="J19" s="568">
        <v>0</v>
      </c>
      <c r="K19" s="572">
        <v>0</v>
      </c>
      <c r="L19" s="573">
        <v>0</v>
      </c>
      <c r="M19" s="574">
        <v>0</v>
      </c>
      <c r="N19" s="569">
        <v>0</v>
      </c>
    </row>
    <row r="20" spans="1:14" x14ac:dyDescent="0.2">
      <c r="A20" s="457" t="s">
        <v>428</v>
      </c>
      <c r="B20" s="322"/>
      <c r="C20" s="595">
        <f t="shared" si="1"/>
        <v>0</v>
      </c>
      <c r="D20" s="565">
        <v>0</v>
      </c>
      <c r="E20" s="565">
        <v>0</v>
      </c>
      <c r="F20" s="566">
        <v>0</v>
      </c>
      <c r="G20" s="567">
        <v>0</v>
      </c>
      <c r="H20" s="567">
        <v>0</v>
      </c>
      <c r="I20" s="567">
        <v>0</v>
      </c>
      <c r="J20" s="568">
        <v>0</v>
      </c>
      <c r="K20" s="572">
        <v>0</v>
      </c>
      <c r="L20" s="573">
        <v>0</v>
      </c>
      <c r="M20" s="574">
        <v>0</v>
      </c>
      <c r="N20" s="569">
        <v>0</v>
      </c>
    </row>
    <row r="21" spans="1:14" x14ac:dyDescent="0.2">
      <c r="A21" s="461" t="s">
        <v>429</v>
      </c>
      <c r="B21" s="458"/>
      <c r="C21" s="596">
        <f t="shared" si="1"/>
        <v>0</v>
      </c>
      <c r="D21" s="586">
        <f>SUM(D5:D7,D9:D11,D13:D20)</f>
        <v>0</v>
      </c>
      <c r="E21" s="586">
        <f t="shared" ref="E21:N21" si="2">SUM(E5:E7,E9:E11,E13:E20)</f>
        <v>0</v>
      </c>
      <c r="F21" s="588">
        <f t="shared" si="2"/>
        <v>0</v>
      </c>
      <c r="G21" s="589">
        <f t="shared" si="2"/>
        <v>0</v>
      </c>
      <c r="H21" s="589">
        <f t="shared" si="2"/>
        <v>18729747.543991305</v>
      </c>
      <c r="I21" s="589">
        <f t="shared" si="2"/>
        <v>31891875.189351622</v>
      </c>
      <c r="J21" s="590">
        <f t="shared" si="2"/>
        <v>51428008.63262473</v>
      </c>
      <c r="K21" s="591">
        <f t="shared" si="2"/>
        <v>62765995.885980211</v>
      </c>
      <c r="L21" s="592">
        <f t="shared" si="2"/>
        <v>99547962.793379664</v>
      </c>
      <c r="M21" s="593">
        <f t="shared" si="2"/>
        <v>105177269.99660328</v>
      </c>
      <c r="N21" s="594">
        <f t="shared" si="2"/>
        <v>108573532.10149755</v>
      </c>
    </row>
    <row r="22" spans="1:14" x14ac:dyDescent="0.2">
      <c r="A22" s="461" t="s">
        <v>430</v>
      </c>
      <c r="B22" s="458"/>
      <c r="C22" s="596">
        <f t="shared" si="1"/>
        <v>37842505.790082678</v>
      </c>
      <c r="D22" s="586">
        <f>'CashFlow-Combined'!D264</f>
        <v>18641628.468021024</v>
      </c>
      <c r="E22" s="586">
        <f>'CashFlow-Combined'!E264</f>
        <v>19200877.322061654</v>
      </c>
      <c r="F22" s="588">
        <f>'CashFlow-Combined'!F264</f>
        <v>16896271.152115941</v>
      </c>
      <c r="G22" s="589">
        <f>'CashFlow-Combined'!G264</f>
        <v>17403159.286679424</v>
      </c>
      <c r="H22" s="589">
        <f>'CashFlow-Combined'!H264</f>
        <v>221732451.00565359</v>
      </c>
      <c r="I22" s="589">
        <f>'CashFlow-Combined'!I264</f>
        <v>9415664.1541435644</v>
      </c>
      <c r="J22" s="590">
        <f>'CashFlow-Combined'!J264</f>
        <v>119318943.82549673</v>
      </c>
      <c r="K22" s="591">
        <f>'CashFlow-Combined'!K264</f>
        <v>2002456.5657401653</v>
      </c>
      <c r="L22" s="592">
        <f>'CashFlow-Combined'!L264</f>
        <v>62548571.541622803</v>
      </c>
      <c r="M22" s="593">
        <f>'CashFlow-Combined'!M264</f>
        <v>2231587676.5858045</v>
      </c>
      <c r="N22" s="594"/>
    </row>
    <row r="23" spans="1:14" x14ac:dyDescent="0.2">
      <c r="A23" s="373"/>
      <c r="B23" s="326" t="s">
        <v>431</v>
      </c>
      <c r="C23" s="596">
        <f t="shared" si="1"/>
        <v>37842505.790082678</v>
      </c>
      <c r="D23" s="597">
        <f>D21+D22</f>
        <v>18641628.468021024</v>
      </c>
      <c r="E23" s="597">
        <f t="shared" ref="E23:N23" si="3">E21+E22</f>
        <v>19200877.322061654</v>
      </c>
      <c r="F23" s="588">
        <f t="shared" si="3"/>
        <v>16896271.152115941</v>
      </c>
      <c r="G23" s="589">
        <f t="shared" si="3"/>
        <v>17403159.286679424</v>
      </c>
      <c r="H23" s="589">
        <f t="shared" si="3"/>
        <v>240462198.54964489</v>
      </c>
      <c r="I23" s="589">
        <f t="shared" si="3"/>
        <v>41307539.34349519</v>
      </c>
      <c r="J23" s="590">
        <f t="shared" si="3"/>
        <v>170746952.45812148</v>
      </c>
      <c r="K23" s="591">
        <f t="shared" si="3"/>
        <v>64768452.451720379</v>
      </c>
      <c r="L23" s="592">
        <f t="shared" si="3"/>
        <v>162096534.33500248</v>
      </c>
      <c r="M23" s="593">
        <f t="shared" si="3"/>
        <v>2336764946.582408</v>
      </c>
      <c r="N23" s="598"/>
    </row>
    <row r="24" spans="1:14" x14ac:dyDescent="0.2">
      <c r="A24" s="374"/>
      <c r="B24" s="327"/>
      <c r="C24" s="328"/>
      <c r="D24" s="441"/>
      <c r="E24" s="441"/>
      <c r="F24" s="329"/>
      <c r="G24" s="330"/>
      <c r="H24" s="330"/>
      <c r="I24" s="330"/>
      <c r="J24" s="330"/>
      <c r="K24" s="330"/>
      <c r="L24" s="575"/>
      <c r="M24" s="576"/>
      <c r="N24" s="375"/>
    </row>
    <row r="25" spans="1:14" x14ac:dyDescent="0.2">
      <c r="A25" s="368" t="s">
        <v>432</v>
      </c>
      <c r="B25" s="319"/>
      <c r="C25" s="530"/>
      <c r="D25" s="438"/>
      <c r="E25" s="438"/>
      <c r="F25" s="510"/>
      <c r="G25" s="488"/>
      <c r="H25" s="488"/>
      <c r="I25" s="511"/>
      <c r="J25" s="506"/>
      <c r="K25" s="508"/>
      <c r="L25" s="522"/>
      <c r="M25" s="577"/>
      <c r="N25" s="376"/>
    </row>
    <row r="26" spans="1:14" x14ac:dyDescent="0.2">
      <c r="A26" s="534" t="s">
        <v>415</v>
      </c>
      <c r="B26" s="323" t="s">
        <v>416</v>
      </c>
      <c r="C26" s="595">
        <f t="shared" ref="C26:C41" si="4">SUM(D26:E26)</f>
        <v>0</v>
      </c>
      <c r="D26" s="565">
        <f>-'CashFlow-Combined'!D245</f>
        <v>0</v>
      </c>
      <c r="E26" s="565">
        <f>-'CashFlow-Combined'!E245</f>
        <v>0</v>
      </c>
      <c r="F26" s="599">
        <f>-'CashFlow-Combined'!F245</f>
        <v>2895161.3497565342</v>
      </c>
      <c r="G26" s="600">
        <f>-'CashFlow-Combined'!G245</f>
        <v>2895161.3497565342</v>
      </c>
      <c r="H26" s="600">
        <f>-'CashFlow-Combined'!H245</f>
        <v>32604429.516026553</v>
      </c>
      <c r="I26" s="601">
        <f>-'CashFlow-Combined'!I245</f>
        <v>33419394.005753938</v>
      </c>
      <c r="J26" s="602">
        <f>-'CashFlow-Combined'!J245</f>
        <v>26412283.184807774</v>
      </c>
      <c r="K26" s="603">
        <f>-'CashFlow-Combined'!K245</f>
        <v>27128338.125091292</v>
      </c>
      <c r="L26" s="604">
        <f>-'CashFlow-Combined'!L245</f>
        <v>0</v>
      </c>
      <c r="M26" s="605">
        <f>-'CashFlow-Combined'!M245</f>
        <v>0</v>
      </c>
      <c r="N26" s="606"/>
    </row>
    <row r="27" spans="1:14" x14ac:dyDescent="0.2">
      <c r="A27" s="535"/>
      <c r="B27" s="323" t="s">
        <v>417</v>
      </c>
      <c r="C27" s="595">
        <f t="shared" si="4"/>
        <v>17424730.730875064</v>
      </c>
      <c r="D27" s="565">
        <f>-'CashFlow-Combined'!D246</f>
        <v>8712365.3654375318</v>
      </c>
      <c r="E27" s="565">
        <f>-'CashFlow-Combined'!E246</f>
        <v>8712365.3654375318</v>
      </c>
      <c r="F27" s="599">
        <f>-'CashFlow-Combined'!F246</f>
        <v>94185255.062829792</v>
      </c>
      <c r="G27" s="600">
        <f>-'CashFlow-Combined'!G246</f>
        <v>96637715.404965639</v>
      </c>
      <c r="H27" s="600">
        <f>-'CashFlow-Combined'!H246</f>
        <v>40814045.954381779</v>
      </c>
      <c r="I27" s="601">
        <f>-'CashFlow-Combined'!I246</f>
        <v>41862381.387512803</v>
      </c>
      <c r="J27" s="602">
        <f>-'CashFlow-Combined'!J246</f>
        <v>22274992.801418565</v>
      </c>
      <c r="K27" s="603">
        <f>-'CashFlow-Combined'!K246</f>
        <v>22878882.988746636</v>
      </c>
      <c r="L27" s="604">
        <f>-'CashFlow-Combined'!L246</f>
        <v>0</v>
      </c>
      <c r="M27" s="605">
        <f>-'CashFlow-Combined'!M246</f>
        <v>0</v>
      </c>
      <c r="N27" s="606"/>
    </row>
    <row r="28" spans="1:14" x14ac:dyDescent="0.2">
      <c r="A28" s="532" t="s">
        <v>418</v>
      </c>
      <c r="B28" s="323" t="s">
        <v>416</v>
      </c>
      <c r="C28" s="595">
        <f t="shared" si="4"/>
        <v>0</v>
      </c>
      <c r="D28" s="565">
        <v>0</v>
      </c>
      <c r="E28" s="565">
        <v>0</v>
      </c>
      <c r="F28" s="599">
        <v>0</v>
      </c>
      <c r="G28" s="600">
        <v>0</v>
      </c>
      <c r="H28" s="600">
        <v>0</v>
      </c>
      <c r="I28" s="601">
        <v>0</v>
      </c>
      <c r="J28" s="602">
        <v>0</v>
      </c>
      <c r="K28" s="603">
        <v>0</v>
      </c>
      <c r="L28" s="604">
        <v>0</v>
      </c>
      <c r="M28" s="605">
        <v>0</v>
      </c>
      <c r="N28" s="606"/>
    </row>
    <row r="29" spans="1:14" x14ac:dyDescent="0.2">
      <c r="A29" s="534" t="s">
        <v>253</v>
      </c>
      <c r="B29" s="323" t="s">
        <v>416</v>
      </c>
      <c r="C29" s="583" t="s">
        <v>546</v>
      </c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5"/>
    </row>
    <row r="30" spans="1:14" x14ac:dyDescent="0.2">
      <c r="A30" s="535"/>
      <c r="B30" s="323" t="s">
        <v>417</v>
      </c>
      <c r="C30" s="583" t="s">
        <v>547</v>
      </c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5"/>
    </row>
    <row r="31" spans="1:14" x14ac:dyDescent="0.2">
      <c r="A31" s="533" t="s">
        <v>419</v>
      </c>
      <c r="B31" s="322"/>
      <c r="C31" s="595">
        <f t="shared" si="4"/>
        <v>29759099.645020407</v>
      </c>
      <c r="D31" s="565">
        <f>-'CashFlow-Combined'!D248</f>
        <v>14879549.822510203</v>
      </c>
      <c r="E31" s="565">
        <f>-'CashFlow-Combined'!E248</f>
        <v>14879549.822510203</v>
      </c>
      <c r="F31" s="599">
        <f>-'CashFlow-Combined'!F248</f>
        <v>165426204.99898791</v>
      </c>
      <c r="G31" s="600">
        <f>-'CashFlow-Combined'!G248</f>
        <v>169614677.85542992</v>
      </c>
      <c r="H31" s="600">
        <f>-'CashFlow-Combined'!H248</f>
        <v>113496159.96247365</v>
      </c>
      <c r="I31" s="601">
        <f>-'CashFlow-Combined'!I248</f>
        <v>116573117.96249552</v>
      </c>
      <c r="J31" s="602">
        <f>-'CashFlow-Combined'!J248</f>
        <v>0</v>
      </c>
      <c r="K31" s="603">
        <f>-'CashFlow-Combined'!K248</f>
        <v>0</v>
      </c>
      <c r="L31" s="604">
        <f>-'CashFlow-Combined'!L248</f>
        <v>0</v>
      </c>
      <c r="M31" s="605">
        <f>-'CashFlow-Combined'!M248</f>
        <v>0</v>
      </c>
      <c r="N31" s="606"/>
    </row>
    <row r="32" spans="1:14" x14ac:dyDescent="0.2">
      <c r="A32" s="533" t="s">
        <v>433</v>
      </c>
      <c r="B32" s="322"/>
      <c r="C32" s="595">
        <f t="shared" si="4"/>
        <v>994052.24612219399</v>
      </c>
      <c r="D32" s="565">
        <f>-'CashFlow-Combined'!D247</f>
        <v>497026.12306109699</v>
      </c>
      <c r="E32" s="565">
        <f>-'CashFlow-Combined'!E247</f>
        <v>497026.12306109699</v>
      </c>
      <c r="F32" s="599">
        <f>-'CashFlow-Combined'!F247</f>
        <v>7296587.1502230763</v>
      </c>
      <c r="G32" s="600">
        <f>-'CashFlow-Combined'!G247</f>
        <v>7436495.9814858753</v>
      </c>
      <c r="H32" s="600">
        <f>-'CashFlow-Combined'!H247</f>
        <v>26181832.091071263</v>
      </c>
      <c r="I32" s="601">
        <f>-'CashFlow-Combined'!I247</f>
        <v>26335732.971268862</v>
      </c>
      <c r="J32" s="602">
        <f>-'CashFlow-Combined'!J247</f>
        <v>39358570.51338955</v>
      </c>
      <c r="K32" s="603">
        <f>-'CashFlow-Combined'!K247</f>
        <v>40214629.137808762</v>
      </c>
      <c r="L32" s="604">
        <f>-'CashFlow-Combined'!L247</f>
        <v>0</v>
      </c>
      <c r="M32" s="605">
        <f>-'CashFlow-Combined'!M247</f>
        <v>0</v>
      </c>
      <c r="N32" s="606"/>
    </row>
    <row r="33" spans="1:14" x14ac:dyDescent="0.2">
      <c r="A33" s="533" t="s">
        <v>73</v>
      </c>
      <c r="B33" s="322"/>
      <c r="C33" s="595">
        <f t="shared" si="4"/>
        <v>0</v>
      </c>
      <c r="D33" s="565">
        <f>-'CashFlow-Combined'!D249</f>
        <v>0</v>
      </c>
      <c r="E33" s="565">
        <f>-'CashFlow-Combined'!E249</f>
        <v>0</v>
      </c>
      <c r="F33" s="599">
        <f>-'CashFlow-Combined'!F249</f>
        <v>0</v>
      </c>
      <c r="G33" s="600">
        <f>-'CashFlow-Combined'!G249</f>
        <v>0</v>
      </c>
      <c r="H33" s="600">
        <f>-'CashFlow-Combined'!H249</f>
        <v>8200485.2899138574</v>
      </c>
      <c r="I33" s="601">
        <f>-'CashFlow-Combined'!I249</f>
        <v>8200485.2899138574</v>
      </c>
      <c r="J33" s="602">
        <f>-'CashFlow-Combined'!J249</f>
        <v>85146160.072122231</v>
      </c>
      <c r="K33" s="603">
        <f>-'CashFlow-Combined'!K249</f>
        <v>87454530.315588489</v>
      </c>
      <c r="L33" s="604">
        <f>-'CashFlow-Combined'!L249</f>
        <v>0</v>
      </c>
      <c r="M33" s="605">
        <f>-'CashFlow-Combined'!M249</f>
        <v>0</v>
      </c>
      <c r="N33" s="606"/>
    </row>
    <row r="34" spans="1:14" x14ac:dyDescent="0.2">
      <c r="A34" s="533" t="s">
        <v>422</v>
      </c>
      <c r="B34" s="322"/>
      <c r="C34" s="595">
        <f t="shared" si="4"/>
        <v>0</v>
      </c>
      <c r="D34" s="565">
        <v>0</v>
      </c>
      <c r="E34" s="565">
        <v>0</v>
      </c>
      <c r="F34" s="599">
        <v>0</v>
      </c>
      <c r="G34" s="600">
        <v>0</v>
      </c>
      <c r="H34" s="600">
        <v>0</v>
      </c>
      <c r="I34" s="601">
        <v>0</v>
      </c>
      <c r="J34" s="602">
        <v>0</v>
      </c>
      <c r="K34" s="603">
        <v>0</v>
      </c>
      <c r="L34" s="604">
        <v>0</v>
      </c>
      <c r="M34" s="605">
        <v>0</v>
      </c>
      <c r="N34" s="606"/>
    </row>
    <row r="35" spans="1:14" x14ac:dyDescent="0.2">
      <c r="A35" s="533" t="s">
        <v>423</v>
      </c>
      <c r="B35" s="322"/>
      <c r="C35" s="595">
        <f t="shared" si="4"/>
        <v>0</v>
      </c>
      <c r="D35" s="565">
        <v>0</v>
      </c>
      <c r="E35" s="565">
        <v>0</v>
      </c>
      <c r="F35" s="599">
        <v>0</v>
      </c>
      <c r="G35" s="600">
        <v>0</v>
      </c>
      <c r="H35" s="600">
        <v>0</v>
      </c>
      <c r="I35" s="601">
        <v>0</v>
      </c>
      <c r="J35" s="602">
        <v>0</v>
      </c>
      <c r="K35" s="603">
        <v>0</v>
      </c>
      <c r="L35" s="604">
        <v>0</v>
      </c>
      <c r="M35" s="605">
        <v>0</v>
      </c>
      <c r="N35" s="606"/>
    </row>
    <row r="36" spans="1:14" x14ac:dyDescent="0.2">
      <c r="A36" s="533" t="s">
        <v>424</v>
      </c>
      <c r="B36" s="322"/>
      <c r="C36" s="595">
        <f t="shared" si="4"/>
        <v>1394402.4397293373</v>
      </c>
      <c r="D36" s="565">
        <f>-'CashFlow-Combined'!D250</f>
        <v>697201.21986466867</v>
      </c>
      <c r="E36" s="565">
        <f>-'CashFlow-Combined'!E250</f>
        <v>697201.21986466867</v>
      </c>
      <c r="F36" s="599">
        <f>-'CashFlow-Combined'!F250</f>
        <v>10176322.709560703</v>
      </c>
      <c r="G36" s="600">
        <f>-'CashFlow-Combined'!G250</f>
        <v>10372579.210578203</v>
      </c>
      <c r="H36" s="600">
        <f>-'CashFlow-Combined'!H250</f>
        <v>30497530.146335658</v>
      </c>
      <c r="I36" s="601">
        <f>-'CashFlow-Combined'!I250</f>
        <v>31324338.907052346</v>
      </c>
      <c r="J36" s="602">
        <f>-'CashFlow-Combined'!J250</f>
        <v>0</v>
      </c>
      <c r="K36" s="603">
        <f>-'CashFlow-Combined'!K250</f>
        <v>0</v>
      </c>
      <c r="L36" s="604">
        <f>-'CashFlow-Combined'!L250</f>
        <v>0</v>
      </c>
      <c r="M36" s="605">
        <f>-'CashFlow-Combined'!M250</f>
        <v>0</v>
      </c>
      <c r="N36" s="606"/>
    </row>
    <row r="37" spans="1:14" x14ac:dyDescent="0.2">
      <c r="A37" s="533" t="s">
        <v>428</v>
      </c>
      <c r="B37" s="322"/>
      <c r="C37" s="595">
        <f t="shared" si="4"/>
        <v>0</v>
      </c>
      <c r="D37" s="565">
        <v>0</v>
      </c>
      <c r="E37" s="565">
        <v>0</v>
      </c>
      <c r="F37" s="599">
        <v>0</v>
      </c>
      <c r="G37" s="600">
        <v>0</v>
      </c>
      <c r="H37" s="600">
        <v>0</v>
      </c>
      <c r="I37" s="601">
        <v>0</v>
      </c>
      <c r="J37" s="602">
        <v>0</v>
      </c>
      <c r="K37" s="603">
        <v>0</v>
      </c>
      <c r="L37" s="604">
        <v>0</v>
      </c>
      <c r="M37" s="605">
        <v>0</v>
      </c>
      <c r="N37" s="606"/>
    </row>
    <row r="38" spans="1:14" x14ac:dyDescent="0.2">
      <c r="A38" s="533" t="s">
        <v>409</v>
      </c>
      <c r="B38" s="323"/>
      <c r="C38" s="595">
        <f t="shared" si="4"/>
        <v>0</v>
      </c>
      <c r="D38" s="565">
        <f>-'CashFlow-Combined'!D242</f>
        <v>0</v>
      </c>
      <c r="E38" s="565">
        <f>-'CashFlow-Combined'!E242</f>
        <v>0</v>
      </c>
      <c r="F38" s="599">
        <f>-'CashFlow-Combined'!F242</f>
        <v>12040000</v>
      </c>
      <c r="G38" s="600">
        <f>-'CashFlow-Combined'!G242</f>
        <v>0</v>
      </c>
      <c r="H38" s="600">
        <f>-'CashFlow-Combined'!H242</f>
        <v>25650000</v>
      </c>
      <c r="I38" s="601">
        <f>-'CashFlow-Combined'!I242</f>
        <v>0</v>
      </c>
      <c r="J38" s="602">
        <f>-'CashFlow-Combined'!J242</f>
        <v>15600000</v>
      </c>
      <c r="K38" s="603">
        <f>-'CashFlow-Combined'!K242</f>
        <v>0</v>
      </c>
      <c r="L38" s="604">
        <f>-'CashFlow-Combined'!L242</f>
        <v>0</v>
      </c>
      <c r="M38" s="605">
        <f>-'CashFlow-Combined'!M242</f>
        <v>0</v>
      </c>
      <c r="N38" s="606"/>
    </row>
    <row r="39" spans="1:14" x14ac:dyDescent="0.2">
      <c r="A39" s="533" t="s">
        <v>397</v>
      </c>
      <c r="B39" s="322"/>
      <c r="C39" s="595">
        <f t="shared" si="4"/>
        <v>0</v>
      </c>
      <c r="D39" s="565">
        <f>-'CashFlow-Combined'!D251</f>
        <v>0</v>
      </c>
      <c r="E39" s="565">
        <f>-'CashFlow-Combined'!E251</f>
        <v>0</v>
      </c>
      <c r="F39" s="599">
        <f>-'CashFlow-Combined'!F251</f>
        <v>16778568.434343435</v>
      </c>
      <c r="G39" s="600">
        <f>-'CashFlow-Combined'!G251</f>
        <v>16778568.434343435</v>
      </c>
      <c r="H39" s="600">
        <f>-'CashFlow-Combined'!H251</f>
        <v>21592526.363636363</v>
      </c>
      <c r="I39" s="601">
        <f>-'CashFlow-Combined'!I251</f>
        <v>21592526.363636363</v>
      </c>
      <c r="J39" s="602">
        <f>-'CashFlow-Combined'!J251</f>
        <v>1467424.2424242424</v>
      </c>
      <c r="K39" s="603">
        <f>-'CashFlow-Combined'!K251</f>
        <v>1467424.2424242424</v>
      </c>
      <c r="L39" s="604">
        <f>-'CashFlow-Combined'!L251</f>
        <v>0</v>
      </c>
      <c r="M39" s="605">
        <f>-'CashFlow-Combined'!M251</f>
        <v>0</v>
      </c>
      <c r="N39" s="606"/>
    </row>
    <row r="40" spans="1:14" x14ac:dyDescent="0.2">
      <c r="A40" s="536" t="s">
        <v>434</v>
      </c>
      <c r="B40" s="354"/>
      <c r="C40" s="583" t="s">
        <v>548</v>
      </c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5"/>
    </row>
    <row r="41" spans="1:14" x14ac:dyDescent="0.2">
      <c r="A41" s="461" t="s">
        <v>435</v>
      </c>
      <c r="B41" s="458"/>
      <c r="C41" s="596">
        <f>SUM(C26:C28,C31:C39)</f>
        <v>49572285.061747007</v>
      </c>
      <c r="D41" s="586">
        <f t="shared" ref="D41:M41" si="5">SUM(D26:D28,D31:D39)</f>
        <v>24786142.530873504</v>
      </c>
      <c r="E41" s="586">
        <f t="shared" si="5"/>
        <v>24786142.530873504</v>
      </c>
      <c r="F41" s="588">
        <f t="shared" si="5"/>
        <v>308798099.70570147</v>
      </c>
      <c r="G41" s="589">
        <f t="shared" si="5"/>
        <v>303735198.23655969</v>
      </c>
      <c r="H41" s="589">
        <f t="shared" si="5"/>
        <v>299037009.32383919</v>
      </c>
      <c r="I41" s="607">
        <f t="shared" si="5"/>
        <v>279307976.88763368</v>
      </c>
      <c r="J41" s="590">
        <f t="shared" si="5"/>
        <v>190259430.81416237</v>
      </c>
      <c r="K41" s="591">
        <f t="shared" si="5"/>
        <v>179143804.80965942</v>
      </c>
      <c r="L41" s="592">
        <f t="shared" si="5"/>
        <v>0</v>
      </c>
      <c r="M41" s="593">
        <f t="shared" si="5"/>
        <v>0</v>
      </c>
      <c r="N41" s="587"/>
    </row>
    <row r="42" spans="1:14" x14ac:dyDescent="0.2">
      <c r="A42" s="377"/>
      <c r="B42" s="331"/>
      <c r="C42" s="332"/>
      <c r="D42" s="440"/>
      <c r="E42" s="440"/>
      <c r="F42" s="333"/>
      <c r="G42" s="334"/>
      <c r="H42" s="334"/>
      <c r="I42" s="334"/>
      <c r="J42" s="334"/>
      <c r="K42" s="334"/>
      <c r="L42" s="578"/>
      <c r="M42" s="579"/>
      <c r="N42" s="378"/>
    </row>
    <row r="43" spans="1:14" x14ac:dyDescent="0.2">
      <c r="A43" s="379" t="s">
        <v>436</v>
      </c>
      <c r="B43" s="335"/>
      <c r="C43" s="530"/>
      <c r="D43" s="442"/>
      <c r="E43" s="442"/>
      <c r="F43" s="510"/>
      <c r="G43" s="488"/>
      <c r="H43" s="488"/>
      <c r="I43" s="511"/>
      <c r="J43" s="506"/>
      <c r="K43" s="508"/>
      <c r="L43" s="522"/>
      <c r="M43" s="577"/>
      <c r="N43" s="365"/>
    </row>
    <row r="44" spans="1:14" x14ac:dyDescent="0.2">
      <c r="A44" s="457" t="s">
        <v>310</v>
      </c>
      <c r="B44" s="322"/>
      <c r="C44" s="595">
        <f t="shared" ref="C44:C54" si="6">SUM(D44:E44)</f>
        <v>0</v>
      </c>
      <c r="D44" s="565">
        <f>D21</f>
        <v>0</v>
      </c>
      <c r="E44" s="565">
        <f t="shared" ref="E44:M44" si="7">E21</f>
        <v>0</v>
      </c>
      <c r="F44" s="599">
        <f t="shared" si="7"/>
        <v>0</v>
      </c>
      <c r="G44" s="600">
        <f t="shared" si="7"/>
        <v>0</v>
      </c>
      <c r="H44" s="600">
        <f t="shared" si="7"/>
        <v>18729747.543991305</v>
      </c>
      <c r="I44" s="601">
        <f t="shared" si="7"/>
        <v>31891875.189351622</v>
      </c>
      <c r="J44" s="602">
        <f t="shared" si="7"/>
        <v>51428008.63262473</v>
      </c>
      <c r="K44" s="603">
        <f t="shared" si="7"/>
        <v>62765995.885980211</v>
      </c>
      <c r="L44" s="604">
        <f t="shared" si="7"/>
        <v>99547962.793379664</v>
      </c>
      <c r="M44" s="605">
        <f t="shared" si="7"/>
        <v>105177269.99660328</v>
      </c>
      <c r="N44" s="370"/>
    </row>
    <row r="45" spans="1:14" x14ac:dyDescent="0.2">
      <c r="A45" s="533" t="s">
        <v>549</v>
      </c>
      <c r="B45" s="323"/>
      <c r="C45" s="595">
        <f t="shared" si="6"/>
        <v>37842505.790082678</v>
      </c>
      <c r="D45" s="565">
        <f>D22</f>
        <v>18641628.468021024</v>
      </c>
      <c r="E45" s="565">
        <f t="shared" ref="E45:M45" si="8">E22</f>
        <v>19200877.322061654</v>
      </c>
      <c r="F45" s="599">
        <f t="shared" si="8"/>
        <v>16896271.152115941</v>
      </c>
      <c r="G45" s="600">
        <f t="shared" si="8"/>
        <v>17403159.286679424</v>
      </c>
      <c r="H45" s="600">
        <f t="shared" si="8"/>
        <v>221732451.00565359</v>
      </c>
      <c r="I45" s="601">
        <f t="shared" si="8"/>
        <v>9415664.1541435644</v>
      </c>
      <c r="J45" s="602">
        <f t="shared" si="8"/>
        <v>119318943.82549673</v>
      </c>
      <c r="K45" s="603">
        <f t="shared" si="8"/>
        <v>2002456.5657401653</v>
      </c>
      <c r="L45" s="604">
        <f t="shared" si="8"/>
        <v>62548571.541622803</v>
      </c>
      <c r="M45" s="605">
        <f t="shared" si="8"/>
        <v>2231587676.5858045</v>
      </c>
      <c r="N45" s="370"/>
    </row>
    <row r="46" spans="1:14" x14ac:dyDescent="0.2">
      <c r="A46" s="457" t="s">
        <v>437</v>
      </c>
      <c r="B46" s="322"/>
      <c r="C46" s="531">
        <f>'Assumptions-Overall'!U27</f>
        <v>0.01</v>
      </c>
      <c r="D46" s="439"/>
      <c r="E46" s="439"/>
      <c r="F46" s="485"/>
      <c r="G46" s="486"/>
      <c r="H46" s="486"/>
      <c r="I46" s="487"/>
      <c r="J46" s="504"/>
      <c r="K46" s="509"/>
      <c r="L46" s="497"/>
      <c r="M46" s="498"/>
      <c r="N46" s="370"/>
    </row>
    <row r="47" spans="1:14" x14ac:dyDescent="0.2">
      <c r="A47" s="457" t="s">
        <v>435</v>
      </c>
      <c r="B47" s="322"/>
      <c r="C47" s="595">
        <f t="shared" si="6"/>
        <v>49572285.061747007</v>
      </c>
      <c r="D47" s="565">
        <f>D41</f>
        <v>24786142.530873504</v>
      </c>
      <c r="E47" s="565">
        <f t="shared" ref="E47:M47" si="9">E41</f>
        <v>24786142.530873504</v>
      </c>
      <c r="F47" s="599">
        <f t="shared" si="9"/>
        <v>308798099.70570147</v>
      </c>
      <c r="G47" s="600">
        <f t="shared" si="9"/>
        <v>303735198.23655969</v>
      </c>
      <c r="H47" s="600">
        <f t="shared" si="9"/>
        <v>299037009.32383919</v>
      </c>
      <c r="I47" s="601">
        <f t="shared" si="9"/>
        <v>279307976.88763368</v>
      </c>
      <c r="J47" s="602">
        <f t="shared" si="9"/>
        <v>190259430.81416237</v>
      </c>
      <c r="K47" s="603">
        <f t="shared" si="9"/>
        <v>179143804.80965942</v>
      </c>
      <c r="L47" s="604">
        <f t="shared" si="9"/>
        <v>0</v>
      </c>
      <c r="M47" s="605">
        <f t="shared" si="9"/>
        <v>0</v>
      </c>
      <c r="N47" s="370"/>
    </row>
    <row r="48" spans="1:14" x14ac:dyDescent="0.2">
      <c r="A48" s="380" t="s">
        <v>438</v>
      </c>
      <c r="B48" s="336"/>
      <c r="C48" s="596">
        <f t="shared" si="6"/>
        <v>-11729779.271664329</v>
      </c>
      <c r="D48" s="586">
        <f>'CashFlow-Combined'!D266</f>
        <v>-6144514.0628524795</v>
      </c>
      <c r="E48" s="586">
        <f>'CashFlow-Combined'!E266</f>
        <v>-5585265.2088118494</v>
      </c>
      <c r="F48" s="588">
        <f>'CashFlow-Combined'!F266</f>
        <v>-291901828.55358553</v>
      </c>
      <c r="G48" s="589">
        <f>'CashFlow-Combined'!G266</f>
        <v>-286332038.94988018</v>
      </c>
      <c r="H48" s="589">
        <f>'CashFlow-Combined'!H266</f>
        <v>-58747512.447628826</v>
      </c>
      <c r="I48" s="607">
        <f>'CashFlow-Combined'!I266</f>
        <v>-238178320.26777613</v>
      </c>
      <c r="J48" s="590">
        <f>'CashFlow-Combined'!J266</f>
        <v>-16288012.101887554</v>
      </c>
      <c r="K48" s="591">
        <f>'CashFlow-Combined'!K266</f>
        <v>-114762152.11616108</v>
      </c>
      <c r="L48" s="592">
        <f>'CashFlow-Combined'!L266</f>
        <v>164623296.1414758</v>
      </c>
      <c r="M48" s="593">
        <f>'CashFlow-Combined'!M266</f>
        <v>2336277511.2430754</v>
      </c>
      <c r="N48" s="372"/>
    </row>
    <row r="49" spans="1:14" x14ac:dyDescent="0.2">
      <c r="A49" s="380" t="s">
        <v>439</v>
      </c>
      <c r="B49" s="336"/>
      <c r="C49" s="596">
        <f t="shared" ca="1" si="6"/>
        <v>-16291342.419454103</v>
      </c>
      <c r="D49" s="586">
        <f ca="1">'CashFlow-Combined'!D302</f>
        <v>-10706077.210642254</v>
      </c>
      <c r="E49" s="586">
        <f ca="1">'CashFlow-Combined'!E302</f>
        <v>-5585265.2088118494</v>
      </c>
      <c r="F49" s="588">
        <f ca="1">'CashFlow-Combined'!F302</f>
        <v>-114598957.26182494</v>
      </c>
      <c r="G49" s="589">
        <f ca="1">'CashFlow-Combined'!G302</f>
        <v>-12010348.675525904</v>
      </c>
      <c r="H49" s="589">
        <f ca="1">'CashFlow-Combined'!H302</f>
        <v>54664941.719907224</v>
      </c>
      <c r="I49" s="607">
        <f ca="1">'CashFlow-Combined'!I302</f>
        <v>47134624.133226275</v>
      </c>
      <c r="J49" s="590">
        <f ca="1">'CashFlow-Combined'!J302</f>
        <v>30017544.75072312</v>
      </c>
      <c r="K49" s="591">
        <f ca="1">'CashFlow-Combined'!K302</f>
        <v>112753020.34814745</v>
      </c>
      <c r="L49" s="592">
        <f ca="1">'CashFlow-Combined'!L302</f>
        <v>310348269.29938847</v>
      </c>
      <c r="M49" s="593">
        <f ca="1">'CashFlow-Combined'!M302</f>
        <v>1141871214.9173381</v>
      </c>
      <c r="N49" s="372"/>
    </row>
    <row r="50" spans="1:14" x14ac:dyDescent="0.2">
      <c r="A50" s="380" t="s">
        <v>440</v>
      </c>
      <c r="B50" s="336"/>
      <c r="C50" s="596">
        <f t="shared" ca="1" si="6"/>
        <v>0</v>
      </c>
      <c r="D50" s="586">
        <f>'CashFlow-Combined'!D280+'CashFlow-Combined'!D288+'CashFlow-Combined'!D299</f>
        <v>0</v>
      </c>
      <c r="E50" s="586">
        <f ca="1">'CashFlow-Combined'!E280+'CashFlow-Combined'!E288+'CashFlow-Combined'!E299</f>
        <v>0</v>
      </c>
      <c r="F50" s="588">
        <f ca="1">'CashFlow-Combined'!F280+'CashFlow-Combined'!F288+'CashFlow-Combined'!F299</f>
        <v>0</v>
      </c>
      <c r="G50" s="589">
        <f ca="1">'CashFlow-Combined'!G280+'CashFlow-Combined'!G288+'CashFlow-Combined'!G299</f>
        <v>17931558.383244425</v>
      </c>
      <c r="H50" s="589">
        <f ca="1">'CashFlow-Combined'!H280+'CashFlow-Combined'!H288+'CashFlow-Combined'!H299</f>
        <v>33978105.85414128</v>
      </c>
      <c r="I50" s="607">
        <f ca="1">'CashFlow-Combined'!I280+'CashFlow-Combined'!I288+'CashFlow-Combined'!I299</f>
        <v>44940774.27586703</v>
      </c>
      <c r="J50" s="590">
        <f ca="1">'CashFlow-Combined'!J280+'CashFlow-Combined'!J288+'CashFlow-Combined'!J299</f>
        <v>60220099.785666853</v>
      </c>
      <c r="K50" s="591">
        <f ca="1">'CashFlow-Combined'!K280+'CashFlow-Combined'!K288+'CashFlow-Combined'!K299</f>
        <v>63217952.425559975</v>
      </c>
      <c r="L50" s="592">
        <f ca="1">'CashFlow-Combined'!L280+'CashFlow-Combined'!L288+'CashFlow-Combined'!L299</f>
        <v>73687920.814839631</v>
      </c>
      <c r="M50" s="593">
        <f ca="1">'CashFlow-Combined'!M280+'CashFlow-Combined'!M288+'CashFlow-Combined'!M299</f>
        <v>77650065.842217997</v>
      </c>
      <c r="N50" s="372"/>
    </row>
    <row r="51" spans="1:14" x14ac:dyDescent="0.2">
      <c r="A51" s="381" t="s">
        <v>550</v>
      </c>
      <c r="B51" s="337"/>
      <c r="C51" s="623">
        <f>NPV(0.15,D48:M48)</f>
        <v>83262328.314627782</v>
      </c>
      <c r="D51" s="608"/>
      <c r="E51" s="608"/>
      <c r="F51" s="609"/>
      <c r="G51" s="610"/>
      <c r="H51" s="610"/>
      <c r="I51" s="611"/>
      <c r="J51" s="612"/>
      <c r="K51" s="613"/>
      <c r="L51" s="614"/>
      <c r="M51" s="615"/>
      <c r="N51" s="383"/>
    </row>
    <row r="52" spans="1:14" x14ac:dyDescent="0.2">
      <c r="A52" s="380" t="s">
        <v>441</v>
      </c>
      <c r="B52" s="340"/>
      <c r="C52" s="624">
        <f>'Assumptions-Overall'!P9</f>
        <v>0.6</v>
      </c>
      <c r="D52" s="443"/>
      <c r="E52" s="443"/>
      <c r="F52" s="616"/>
      <c r="G52" s="617"/>
      <c r="H52" s="617"/>
      <c r="I52" s="618"/>
      <c r="J52" s="619"/>
      <c r="K52" s="620"/>
      <c r="L52" s="621"/>
      <c r="M52" s="622"/>
      <c r="N52" s="372"/>
    </row>
    <row r="53" spans="1:14" x14ac:dyDescent="0.2">
      <c r="A53" s="384" t="s">
        <v>442</v>
      </c>
      <c r="B53" s="340"/>
      <c r="C53" s="624">
        <f>'CashFlow-Combined'!C267</f>
        <v>0.17973047171583212</v>
      </c>
      <c r="D53" s="444"/>
      <c r="E53" s="444"/>
      <c r="F53" s="324"/>
      <c r="G53" s="325"/>
      <c r="H53" s="341" t="s">
        <v>443</v>
      </c>
      <c r="I53" s="338"/>
      <c r="J53" s="342"/>
      <c r="K53" s="626">
        <f>'Assumptions-Land&amp;Infrastructure'!F11</f>
        <v>53290000</v>
      </c>
      <c r="L53" s="474"/>
      <c r="M53" s="475"/>
      <c r="N53" s="372"/>
    </row>
    <row r="54" spans="1:14" ht="12.75" thickBot="1" x14ac:dyDescent="0.25">
      <c r="A54" s="385" t="s">
        <v>444</v>
      </c>
      <c r="B54" s="386"/>
      <c r="C54" s="625">
        <f ca="1">'CashFlow-Combined'!C303</f>
        <v>0.49664475133819264</v>
      </c>
      <c r="D54" s="445"/>
      <c r="E54" s="445"/>
      <c r="F54" s="387"/>
      <c r="G54" s="388"/>
      <c r="H54" s="389" t="s">
        <v>445</v>
      </c>
      <c r="I54" s="388"/>
      <c r="J54" s="390"/>
      <c r="K54" s="627">
        <f>'CashFlow-Combined'!M264</f>
        <v>2231587676.5858045</v>
      </c>
      <c r="L54" s="582"/>
      <c r="M54" s="390"/>
      <c r="N54" s="391"/>
    </row>
    <row r="55" spans="1:14" ht="12.75" thickBot="1" x14ac:dyDescent="0.25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</row>
    <row r="56" spans="1:14" ht="15" x14ac:dyDescent="0.2">
      <c r="A56" s="412" t="s">
        <v>446</v>
      </c>
      <c r="B56" s="413"/>
      <c r="C56" s="414"/>
      <c r="D56" s="413"/>
      <c r="E56" s="413"/>
      <c r="F56" s="415"/>
      <c r="G56" s="415"/>
      <c r="H56" s="415"/>
      <c r="I56" s="415"/>
      <c r="J56" s="415"/>
      <c r="K56" s="415"/>
      <c r="L56" s="415"/>
      <c r="M56" s="415"/>
      <c r="N56" s="416"/>
    </row>
    <row r="57" spans="1:14" ht="15" customHeight="1" x14ac:dyDescent="0.2">
      <c r="A57" s="392"/>
      <c r="B57" s="382"/>
      <c r="C57" s="382"/>
      <c r="D57" s="446"/>
      <c r="E57" s="446"/>
      <c r="F57" s="477" t="s">
        <v>62</v>
      </c>
      <c r="G57" s="478"/>
      <c r="H57" s="478"/>
      <c r="I57" s="479"/>
      <c r="J57" s="499" t="s">
        <v>61</v>
      </c>
      <c r="K57" s="500"/>
      <c r="L57" s="491" t="s">
        <v>60</v>
      </c>
      <c r="M57" s="492"/>
      <c r="N57" s="526" t="s">
        <v>536</v>
      </c>
    </row>
    <row r="58" spans="1:14" x14ac:dyDescent="0.2">
      <c r="A58" s="366"/>
      <c r="B58" s="317"/>
      <c r="C58" s="318" t="s">
        <v>447</v>
      </c>
      <c r="D58" s="437">
        <v>2018</v>
      </c>
      <c r="E58" s="437">
        <v>2019</v>
      </c>
      <c r="F58" s="472">
        <v>2020</v>
      </c>
      <c r="G58" s="318">
        <f>F58+1</f>
        <v>2021</v>
      </c>
      <c r="H58" s="318">
        <f t="shared" ref="H58:M58" si="10">G58+1</f>
        <v>2022</v>
      </c>
      <c r="I58" s="473">
        <f t="shared" si="10"/>
        <v>2023</v>
      </c>
      <c r="J58" s="472">
        <f t="shared" si="10"/>
        <v>2024</v>
      </c>
      <c r="K58" s="473">
        <f t="shared" si="10"/>
        <v>2025</v>
      </c>
      <c r="L58" s="472">
        <f t="shared" si="10"/>
        <v>2026</v>
      </c>
      <c r="M58" s="473">
        <f t="shared" si="10"/>
        <v>2027</v>
      </c>
      <c r="N58" s="367">
        <f t="shared" ref="N58" si="11">M58+1</f>
        <v>2028</v>
      </c>
    </row>
    <row r="59" spans="1:14" x14ac:dyDescent="0.2">
      <c r="A59" s="368" t="s">
        <v>448</v>
      </c>
      <c r="B59" s="319"/>
      <c r="C59" s="343"/>
      <c r="D59" s="438"/>
      <c r="E59" s="438"/>
      <c r="F59" s="510"/>
      <c r="G59" s="488"/>
      <c r="H59" s="488"/>
      <c r="I59" s="511"/>
      <c r="J59" s="506"/>
      <c r="K59" s="507"/>
      <c r="L59" s="522"/>
      <c r="M59" s="577"/>
      <c r="N59" s="369"/>
    </row>
    <row r="60" spans="1:14" x14ac:dyDescent="0.2">
      <c r="A60" s="459" t="s">
        <v>415</v>
      </c>
      <c r="B60" s="323" t="s">
        <v>416</v>
      </c>
      <c r="C60" s="321" t="s">
        <v>449</v>
      </c>
      <c r="D60" s="439">
        <f>SUM('CashFlow-ResRental'!D127:D130,'CashFlow-ResRental'!D71:D74,'CashFlow-ResRental'!D15:D18)</f>
        <v>0</v>
      </c>
      <c r="E60" s="439">
        <f>SUM('CashFlow-ResRental'!E127:E130,'CashFlow-ResRental'!E71:E74,'CashFlow-ResRental'!E15:E18)</f>
        <v>0</v>
      </c>
      <c r="F60" s="485">
        <f>SUM('CashFlow-ResRental'!F127:F130,'CashFlow-ResRental'!F71:F74,'CashFlow-ResRental'!F15:F18)</f>
        <v>0</v>
      </c>
      <c r="G60" s="486">
        <f>SUM('CashFlow-ResRental'!G127:G130,'CashFlow-ResRental'!G71:G74,'CashFlow-ResRental'!G15:G18)</f>
        <v>0</v>
      </c>
      <c r="H60" s="486">
        <f>SUM('CashFlow-ResRental'!H127:H130,'CashFlow-ResRental'!H71:H74,'CashFlow-ResRental'!H15:H18)</f>
        <v>0</v>
      </c>
      <c r="I60" s="487">
        <f>SUM('CashFlow-ResRental'!I127:I130,'CashFlow-ResRental'!I71:I74,'CashFlow-ResRental'!I15:I18)</f>
        <v>0</v>
      </c>
      <c r="J60" s="504">
        <f>SUM('CashFlow-ResRental'!J127:J130,'CashFlow-ResRental'!J71:J74,'CashFlow-ResRental'!J15:J18)</f>
        <v>114</v>
      </c>
      <c r="K60" s="505">
        <f>SUM('CashFlow-ResRental'!K127:K130,'CashFlow-ResRental'!K71:K74,'CashFlow-ResRental'!K15:K18)</f>
        <v>114</v>
      </c>
      <c r="L60" s="497">
        <f>SUM('CashFlow-ResRental'!L127:L130,'CashFlow-ResRental'!L71:L74,'CashFlow-ResRental'!L15:L18)</f>
        <v>220</v>
      </c>
      <c r="M60" s="498">
        <f>SUM('CashFlow-ResRental'!M127:M130,'CashFlow-ResRental'!M71:M74,'CashFlow-ResRental'!M15:M18)</f>
        <v>220</v>
      </c>
      <c r="N60" s="370">
        <f>SUM('CashFlow-ResRental'!N127:N130,'CashFlow-ResRental'!N71:N74,'CashFlow-ResRental'!N15:N18)</f>
        <v>220</v>
      </c>
    </row>
    <row r="61" spans="1:14" x14ac:dyDescent="0.2">
      <c r="A61" s="460"/>
      <c r="B61" s="323" t="s">
        <v>417</v>
      </c>
      <c r="C61" s="321" t="s">
        <v>449</v>
      </c>
      <c r="D61" s="439">
        <f>SUM('CashFlow-ResCondo'!D15:D18,'CashFlow-ResCondo'!D49:D52,'CashFlow-ResCondo'!D83:D86)</f>
        <v>0</v>
      </c>
      <c r="E61" s="439">
        <f>SUM('CashFlow-ResCondo'!E15:E18,'CashFlow-ResCondo'!E49:E52,'CashFlow-ResCondo'!E83:E86)</f>
        <v>0</v>
      </c>
      <c r="F61" s="485">
        <f>SUM('CashFlow-ResCondo'!F15:F18,'CashFlow-ResCondo'!F49:F52,'CashFlow-ResCondo'!F83:F86)</f>
        <v>0</v>
      </c>
      <c r="G61" s="486">
        <f>SUM('CashFlow-ResCondo'!G15:G18,'CashFlow-ResCondo'!G49:G52,'CashFlow-ResCondo'!G83:G86)</f>
        <v>0</v>
      </c>
      <c r="H61" s="486">
        <f>SUM('CashFlow-ResCondo'!H15:H18,'CashFlow-ResCondo'!H49:H52,'CashFlow-ResCondo'!H83:H86)</f>
        <v>341</v>
      </c>
      <c r="I61" s="487">
        <f>SUM('CashFlow-ResCondo'!I15:I18,'CashFlow-ResCondo'!I49:I52,'CashFlow-ResCondo'!I83:I86)</f>
        <v>341</v>
      </c>
      <c r="J61" s="504">
        <f>SUM('CashFlow-ResCondo'!J15:J18,'CashFlow-ResCondo'!J49:J52,'CashFlow-ResCondo'!J83:J86)</f>
        <v>516</v>
      </c>
      <c r="K61" s="505">
        <f>SUM('CashFlow-ResCondo'!K15:K18,'CashFlow-ResCondo'!K49:K52,'CashFlow-ResCondo'!K83:K86)</f>
        <v>516</v>
      </c>
      <c r="L61" s="497">
        <f>SUM('CashFlow-ResCondo'!L15:L18,'CashFlow-ResCondo'!L49:L52,'CashFlow-ResCondo'!L83:L86)</f>
        <v>603</v>
      </c>
      <c r="M61" s="498">
        <f>SUM('CashFlow-ResCondo'!M15:M18,'CashFlow-ResCondo'!M49:M52,'CashFlow-ResCondo'!M83:M86)</f>
        <v>603</v>
      </c>
      <c r="N61" s="370">
        <f>SUM('CashFlow-ResCondo'!N15:N18,'CashFlow-ResCondo'!N49:N52,'CashFlow-ResCondo'!N83:N86)</f>
        <v>603</v>
      </c>
    </row>
    <row r="62" spans="1:14" x14ac:dyDescent="0.2">
      <c r="A62" s="459" t="s">
        <v>253</v>
      </c>
      <c r="B62" s="323" t="s">
        <v>416</v>
      </c>
      <c r="C62" s="321" t="s">
        <v>449</v>
      </c>
      <c r="D62" s="439">
        <f>SUM('CashFlow-ResRental'!D21:D24,'CashFlow-ResRental'!D77:D80,'CashFlow-ResRental'!D133:D136)</f>
        <v>0</v>
      </c>
      <c r="E62" s="439">
        <f>SUM('CashFlow-ResRental'!E21:E24,'CashFlow-ResRental'!E77:E80,'CashFlow-ResRental'!E133:E136)</f>
        <v>0</v>
      </c>
      <c r="F62" s="485">
        <f>SUM('CashFlow-ResRental'!F21:F24,'CashFlow-ResRental'!F77:F80,'CashFlow-ResRental'!F133:F136)</f>
        <v>0</v>
      </c>
      <c r="G62" s="486">
        <f>SUM('CashFlow-ResRental'!G21:G24,'CashFlow-ResRental'!G77:G80,'CashFlow-ResRental'!G133:G136)</f>
        <v>0</v>
      </c>
      <c r="H62" s="486">
        <f>SUM('CashFlow-ResRental'!H21:H24,'CashFlow-ResRental'!H77:H80,'CashFlow-ResRental'!H133:H136)</f>
        <v>0</v>
      </c>
      <c r="I62" s="487">
        <f>SUM('CashFlow-ResRental'!I21:I24,'CashFlow-ResRental'!I77:I80,'CashFlow-ResRental'!I133:I136)</f>
        <v>0</v>
      </c>
      <c r="J62" s="504">
        <f>SUM('CashFlow-ResRental'!J21:J24,'CashFlow-ResRental'!J77:J80,'CashFlow-ResRental'!J133:J136)</f>
        <v>24</v>
      </c>
      <c r="K62" s="505">
        <f>SUM('CashFlow-ResRental'!K21:K24,'CashFlow-ResRental'!K77:K80,'CashFlow-ResRental'!K133:K136)</f>
        <v>24</v>
      </c>
      <c r="L62" s="497">
        <f>SUM('CashFlow-ResRental'!L21:L24,'CashFlow-ResRental'!L77:L80,'CashFlow-ResRental'!L133:L136)</f>
        <v>44</v>
      </c>
      <c r="M62" s="498">
        <f>SUM('CashFlow-ResRental'!M21:M24,'CashFlow-ResRental'!M77:M80,'CashFlow-ResRental'!M133:M136)</f>
        <v>44</v>
      </c>
      <c r="N62" s="370">
        <f>SUM('CashFlow-ResRental'!N21:N24,'CashFlow-ResRental'!N77:N80,'CashFlow-ResRental'!N133:N136)</f>
        <v>44</v>
      </c>
    </row>
    <row r="63" spans="1:14" x14ac:dyDescent="0.2">
      <c r="A63" s="460"/>
      <c r="B63" s="323" t="s">
        <v>417</v>
      </c>
      <c r="C63" s="321" t="s">
        <v>449</v>
      </c>
      <c r="D63" s="439">
        <f>SUM('CashFlow-ResCondo'!D21:D24,'CashFlow-ResCondo'!D55:D58,'CashFlow-ResCondo'!D89:D92)</f>
        <v>0</v>
      </c>
      <c r="E63" s="439">
        <f>SUM('CashFlow-ResCondo'!E21:E24,'CashFlow-ResCondo'!E55:E58,'CashFlow-ResCondo'!E89:E92)</f>
        <v>0</v>
      </c>
      <c r="F63" s="485">
        <f>SUM('CashFlow-ResCondo'!F21:F24,'CashFlow-ResCondo'!F55:F58,'CashFlow-ResCondo'!F89:F92)</f>
        <v>0</v>
      </c>
      <c r="G63" s="486">
        <f>SUM('CashFlow-ResCondo'!G21:G24,'CashFlow-ResCondo'!G55:G58,'CashFlow-ResCondo'!G89:G92)</f>
        <v>0</v>
      </c>
      <c r="H63" s="486">
        <f>SUM('CashFlow-ResCondo'!H21:H24,'CashFlow-ResCondo'!H55:H58,'CashFlow-ResCondo'!H89:H92)</f>
        <v>40</v>
      </c>
      <c r="I63" s="487">
        <f>SUM('CashFlow-ResCondo'!I21:I24,'CashFlow-ResCondo'!I55:I58,'CashFlow-ResCondo'!I89:I92)</f>
        <v>40</v>
      </c>
      <c r="J63" s="504">
        <f>SUM('CashFlow-ResCondo'!J21:J24,'CashFlow-ResCondo'!J55:J58,'CashFlow-ResCondo'!J89:J92)</f>
        <v>65</v>
      </c>
      <c r="K63" s="505">
        <f>SUM('CashFlow-ResCondo'!K21:K24,'CashFlow-ResCondo'!K55:K58,'CashFlow-ResCondo'!K89:K92)</f>
        <v>65</v>
      </c>
      <c r="L63" s="497">
        <f>SUM('CashFlow-ResCondo'!L21:L24,'CashFlow-ResCondo'!L55:L58,'CashFlow-ResCondo'!L89:L92)</f>
        <v>79</v>
      </c>
      <c r="M63" s="498">
        <f>SUM('CashFlow-ResCondo'!M21:M24,'CashFlow-ResCondo'!M55:M58,'CashFlow-ResCondo'!M89:M92)</f>
        <v>79</v>
      </c>
      <c r="N63" s="370">
        <f>SUM('CashFlow-ResCondo'!N21:N24,'CashFlow-ResCondo'!N55:N58,'CashFlow-ResCondo'!N89:N92)</f>
        <v>79</v>
      </c>
    </row>
    <row r="64" spans="1:14" x14ac:dyDescent="0.2">
      <c r="A64" s="457" t="s">
        <v>421</v>
      </c>
      <c r="B64" s="322"/>
      <c r="C64" s="321" t="s">
        <v>449</v>
      </c>
      <c r="D64" s="449" t="s">
        <v>551</v>
      </c>
      <c r="E64" s="449"/>
      <c r="F64" s="449"/>
      <c r="G64" s="449"/>
      <c r="H64" s="449"/>
      <c r="I64" s="449"/>
      <c r="J64" s="449"/>
      <c r="K64" s="449"/>
      <c r="L64" s="449"/>
      <c r="M64" s="449"/>
      <c r="N64" s="450"/>
    </row>
    <row r="65" spans="1:14" x14ac:dyDescent="0.2">
      <c r="A65" s="457" t="s">
        <v>73</v>
      </c>
      <c r="B65" s="322"/>
      <c r="C65" s="321" t="s">
        <v>450</v>
      </c>
      <c r="D65" s="439">
        <f>SUM('CashFlow-Hotel'!D16:D17,'CashFlow-Hotel'!D81:D82,'CashFlow-Hotel'!D146:D147)</f>
        <v>0</v>
      </c>
      <c r="E65" s="439">
        <f>SUM('CashFlow-Hotel'!E16:E17,'CashFlow-Hotel'!E81:E82,'CashFlow-Hotel'!E146:E147)</f>
        <v>0</v>
      </c>
      <c r="F65" s="485">
        <f>SUM('CashFlow-Hotel'!F16:F17,'CashFlow-Hotel'!F81:F82,'CashFlow-Hotel'!F146:F147)</f>
        <v>0</v>
      </c>
      <c r="G65" s="486">
        <f>SUM('CashFlow-Hotel'!G16:G17,'CashFlow-Hotel'!G81:G82,'CashFlow-Hotel'!G146:G147)</f>
        <v>0</v>
      </c>
      <c r="H65" s="486">
        <f>SUM('CashFlow-Hotel'!H16:H17,'CashFlow-Hotel'!H81:H82,'CashFlow-Hotel'!H146:H147)</f>
        <v>0</v>
      </c>
      <c r="I65" s="487">
        <f>SUM('CashFlow-Hotel'!I16:I17,'CashFlow-Hotel'!I81:I82,'CashFlow-Hotel'!I146:I147)</f>
        <v>0</v>
      </c>
      <c r="J65" s="504">
        <f>SUM('CashFlow-Hotel'!J16:J17,'CashFlow-Hotel'!J81:J82,'CashFlow-Hotel'!J146:J147)</f>
        <v>0</v>
      </c>
      <c r="K65" s="505">
        <f>SUM('CashFlow-Hotel'!K16:K17,'CashFlow-Hotel'!K81:K82,'CashFlow-Hotel'!K146:K147)</f>
        <v>0</v>
      </c>
      <c r="L65" s="497">
        <f>SUM('CashFlow-Hotel'!L16:L17,'CashFlow-Hotel'!L81:L82,'CashFlow-Hotel'!L146:L147)</f>
        <v>652</v>
      </c>
      <c r="M65" s="498">
        <f>SUM('CashFlow-Hotel'!M16:M17,'CashFlow-Hotel'!M81:M82,'CashFlow-Hotel'!M146:M147)</f>
        <v>652</v>
      </c>
      <c r="N65" s="370">
        <f>SUM('CashFlow-Hotel'!N16:N17,'CashFlow-Hotel'!N81:N82,'CashFlow-Hotel'!N146:N147)</f>
        <v>652</v>
      </c>
    </row>
    <row r="66" spans="1:14" x14ac:dyDescent="0.2">
      <c r="A66" s="457" t="s">
        <v>422</v>
      </c>
      <c r="B66" s="322"/>
      <c r="C66" s="321" t="s">
        <v>451</v>
      </c>
      <c r="D66" s="439">
        <f>SUM('CashFlow-Parking'!D14,'CashFlow-Parking'!D45)</f>
        <v>0</v>
      </c>
      <c r="E66" s="439">
        <f>SUM('CashFlow-Parking'!E14,'CashFlow-Parking'!E45)</f>
        <v>0</v>
      </c>
      <c r="F66" s="485">
        <f>SUM('CashFlow-Parking'!F14,'CashFlow-Parking'!F45)</f>
        <v>0</v>
      </c>
      <c r="G66" s="486">
        <f>SUM('CashFlow-Parking'!G14,'CashFlow-Parking'!G45)</f>
        <v>0</v>
      </c>
      <c r="H66" s="486">
        <f>SUM('CashFlow-Parking'!H14,'CashFlow-Parking'!H45)</f>
        <v>311</v>
      </c>
      <c r="I66" s="487">
        <f>SUM('CashFlow-Parking'!I14,'CashFlow-Parking'!I45)</f>
        <v>311</v>
      </c>
      <c r="J66" s="504">
        <f>SUM('CashFlow-Parking'!J14,'CashFlow-Parking'!J45)</f>
        <v>1546</v>
      </c>
      <c r="K66" s="505">
        <f>SUM('CashFlow-Parking'!K14,'CashFlow-Parking'!K45)</f>
        <v>1546</v>
      </c>
      <c r="L66" s="497">
        <f>SUM('CashFlow-Parking'!L14,'CashFlow-Parking'!L45)</f>
        <v>1546</v>
      </c>
      <c r="M66" s="498">
        <f>SUM('CashFlow-Parking'!M14,'CashFlow-Parking'!M45)</f>
        <v>1546</v>
      </c>
      <c r="N66" s="370">
        <f>SUM('CashFlow-Parking'!N14,'CashFlow-Parking'!N45)</f>
        <v>1546</v>
      </c>
    </row>
    <row r="67" spans="1:14" x14ac:dyDescent="0.2">
      <c r="A67" s="457" t="s">
        <v>423</v>
      </c>
      <c r="B67" s="322"/>
      <c r="C67" s="321" t="s">
        <v>451</v>
      </c>
      <c r="D67" s="439">
        <v>0</v>
      </c>
      <c r="E67" s="439">
        <v>0</v>
      </c>
      <c r="F67" s="512">
        <v>0</v>
      </c>
      <c r="G67" s="489">
        <v>0</v>
      </c>
      <c r="H67" s="489">
        <v>0</v>
      </c>
      <c r="I67" s="513">
        <v>0</v>
      </c>
      <c r="J67" s="516">
        <v>0</v>
      </c>
      <c r="K67" s="517">
        <v>0</v>
      </c>
      <c r="L67" s="523">
        <v>0</v>
      </c>
      <c r="M67" s="580">
        <v>0</v>
      </c>
      <c r="N67" s="393">
        <v>0</v>
      </c>
    </row>
    <row r="68" spans="1:14" x14ac:dyDescent="0.2">
      <c r="A68" s="462" t="s">
        <v>428</v>
      </c>
      <c r="B68" s="345"/>
      <c r="C68" s="344"/>
      <c r="D68" s="447">
        <v>0</v>
      </c>
      <c r="E68" s="447">
        <v>0</v>
      </c>
      <c r="F68" s="514">
        <v>0</v>
      </c>
      <c r="G68" s="490">
        <v>0</v>
      </c>
      <c r="H68" s="490">
        <v>0</v>
      </c>
      <c r="I68" s="515">
        <v>0</v>
      </c>
      <c r="J68" s="518">
        <v>0</v>
      </c>
      <c r="K68" s="519">
        <v>0</v>
      </c>
      <c r="L68" s="524">
        <v>0</v>
      </c>
      <c r="M68" s="581">
        <v>0</v>
      </c>
      <c r="N68" s="394">
        <v>0</v>
      </c>
    </row>
    <row r="69" spans="1:14" x14ac:dyDescent="0.2">
      <c r="A69" s="368" t="s">
        <v>452</v>
      </c>
      <c r="B69" s="319"/>
      <c r="C69" s="343"/>
      <c r="D69" s="438"/>
      <c r="E69" s="438"/>
      <c r="F69" s="482"/>
      <c r="G69" s="483"/>
      <c r="H69" s="483"/>
      <c r="I69" s="484"/>
      <c r="J69" s="502"/>
      <c r="K69" s="503"/>
      <c r="L69" s="495"/>
      <c r="M69" s="496"/>
      <c r="N69" s="376"/>
    </row>
    <row r="70" spans="1:14" x14ac:dyDescent="0.2">
      <c r="A70" s="459" t="s">
        <v>415</v>
      </c>
      <c r="B70" s="323" t="s">
        <v>416</v>
      </c>
      <c r="C70" s="321" t="s">
        <v>453</v>
      </c>
      <c r="D70" s="628">
        <f>SUM('CashFlow-ResRental'!D11,'CashFlow-ResRental'!D67,'CashFlow-ResRental'!D123)</f>
        <v>0</v>
      </c>
      <c r="E70" s="628">
        <f>SUM('CashFlow-ResRental'!E11,'CashFlow-ResRental'!E67,'CashFlow-ResRental'!E123)</f>
        <v>0</v>
      </c>
      <c r="F70" s="629">
        <f>SUM('CashFlow-ResRental'!F11,'CashFlow-ResRental'!F67,'CashFlow-ResRental'!F123)</f>
        <v>0</v>
      </c>
      <c r="G70" s="630">
        <f>SUM('CashFlow-ResRental'!G11,'CashFlow-ResRental'!G67,'CashFlow-ResRental'!G123)</f>
        <v>0</v>
      </c>
      <c r="H70" s="630">
        <f>SUM('CashFlow-ResRental'!H11,'CashFlow-ResRental'!H67,'CashFlow-ResRental'!H123)</f>
        <v>0</v>
      </c>
      <c r="I70" s="631">
        <f>SUM('CashFlow-ResRental'!I11,'CashFlow-ResRental'!I67,'CashFlow-ResRental'!I123)</f>
        <v>0</v>
      </c>
      <c r="J70" s="632">
        <f>SUM('CashFlow-ResRental'!J11,'CashFlow-ResRental'!J67,'CashFlow-ResRental'!J123)</f>
        <v>130184.35699999999</v>
      </c>
      <c r="K70" s="633">
        <f>SUM('CashFlow-ResRental'!K11,'CashFlow-ResRental'!K67,'CashFlow-ResRental'!K123)</f>
        <v>130184.35699999999</v>
      </c>
      <c r="L70" s="634">
        <f>SUM('CashFlow-ResRental'!L11,'CashFlow-ResRental'!L67,'CashFlow-ResRental'!L123)</f>
        <v>238002.541</v>
      </c>
      <c r="M70" s="635">
        <f>SUM('CashFlow-ResRental'!M11,'CashFlow-ResRental'!M67,'CashFlow-ResRental'!M123)</f>
        <v>238002.541</v>
      </c>
      <c r="N70" s="636">
        <f>SUM('CashFlow-ResRental'!N11,'CashFlow-ResRental'!N67,'CashFlow-ResRental'!N123)</f>
        <v>238002.541</v>
      </c>
    </row>
    <row r="71" spans="1:14" x14ac:dyDescent="0.2">
      <c r="A71" s="460"/>
      <c r="B71" s="323" t="s">
        <v>417</v>
      </c>
      <c r="C71" s="321" t="s">
        <v>453</v>
      </c>
      <c r="D71" s="628">
        <f>SUM('CashFlow-ResCondo'!D11,'CashFlow-ResCondo'!D45,'CashFlow-ResCondo'!D79)</f>
        <v>0</v>
      </c>
      <c r="E71" s="628">
        <f>SUM('CashFlow-ResCondo'!E11,'CashFlow-ResCondo'!E45,'CashFlow-ResCondo'!E79)</f>
        <v>0</v>
      </c>
      <c r="F71" s="629">
        <f>SUM('CashFlow-ResCondo'!F11,'CashFlow-ResCondo'!F45,'CashFlow-ResCondo'!F79)</f>
        <v>0</v>
      </c>
      <c r="G71" s="630">
        <f>SUM('CashFlow-ResCondo'!G11,'CashFlow-ResCondo'!G45,'CashFlow-ResCondo'!G79)</f>
        <v>0</v>
      </c>
      <c r="H71" s="630">
        <f>SUM('CashFlow-ResCondo'!H11,'CashFlow-ResCondo'!H45,'CashFlow-ResCondo'!H79)</f>
        <v>404387.14</v>
      </c>
      <c r="I71" s="631">
        <f>SUM('CashFlow-ResCondo'!I11,'CashFlow-ResCondo'!I45,'CashFlow-ResCondo'!I79)</f>
        <v>404387.14</v>
      </c>
      <c r="J71" s="632">
        <f>SUM('CashFlow-ResCondo'!J11,'CashFlow-ResCondo'!J45,'CashFlow-ResCondo'!J79)</f>
        <v>571850.72400000005</v>
      </c>
      <c r="K71" s="633">
        <f>SUM('CashFlow-ResCondo'!K11,'CashFlow-ResCondo'!K45,'CashFlow-ResCondo'!K79)</f>
        <v>571850.72400000005</v>
      </c>
      <c r="L71" s="634">
        <f>SUM('CashFlow-ResCondo'!L11,'CashFlow-ResCondo'!L45,'CashFlow-ResCondo'!L79)</f>
        <v>662779.98050000006</v>
      </c>
      <c r="M71" s="635">
        <f>SUM('CashFlow-ResCondo'!M11,'CashFlow-ResCondo'!M45,'CashFlow-ResCondo'!M79)</f>
        <v>662779.98050000006</v>
      </c>
      <c r="N71" s="636">
        <f>SUM('CashFlow-ResCondo'!N11,'CashFlow-ResCondo'!N45,'CashFlow-ResCondo'!N79)</f>
        <v>662779.98050000006</v>
      </c>
    </row>
    <row r="72" spans="1:14" x14ac:dyDescent="0.2">
      <c r="A72" s="459" t="s">
        <v>253</v>
      </c>
      <c r="B72" s="323" t="s">
        <v>416</v>
      </c>
      <c r="C72" s="321" t="s">
        <v>453</v>
      </c>
      <c r="D72" s="449" t="s">
        <v>552</v>
      </c>
      <c r="E72" s="449"/>
      <c r="F72" s="449"/>
      <c r="G72" s="449"/>
      <c r="H72" s="449"/>
      <c r="I72" s="449"/>
      <c r="J72" s="449"/>
      <c r="K72" s="449"/>
      <c r="L72" s="449"/>
      <c r="M72" s="449"/>
      <c r="N72" s="450"/>
    </row>
    <row r="73" spans="1:14" x14ac:dyDescent="0.2">
      <c r="A73" s="460"/>
      <c r="B73" s="323" t="s">
        <v>417</v>
      </c>
      <c r="C73" s="321" t="s">
        <v>453</v>
      </c>
      <c r="D73" s="449" t="s">
        <v>553</v>
      </c>
      <c r="E73" s="449"/>
      <c r="F73" s="449"/>
      <c r="G73" s="449"/>
      <c r="H73" s="449"/>
      <c r="I73" s="449"/>
      <c r="J73" s="449"/>
      <c r="K73" s="449"/>
      <c r="L73" s="449"/>
      <c r="M73" s="449"/>
      <c r="N73" s="450"/>
    </row>
    <row r="74" spans="1:14" x14ac:dyDescent="0.2">
      <c r="A74" s="457" t="s">
        <v>419</v>
      </c>
      <c r="B74" s="322"/>
      <c r="C74" s="321" t="s">
        <v>453</v>
      </c>
      <c r="D74" s="628">
        <f>SUM('CashFlow-Office'!D11,'CashFlow-Office'!D61,'CashFlow-Office'!D111)</f>
        <v>0</v>
      </c>
      <c r="E74" s="628">
        <f>SUM('CashFlow-Office'!E11,'CashFlow-Office'!E61,'CashFlow-Office'!E111)</f>
        <v>0</v>
      </c>
      <c r="F74" s="629">
        <f>SUM('CashFlow-Office'!F11,'CashFlow-Office'!F61,'CashFlow-Office'!F111)</f>
        <v>0</v>
      </c>
      <c r="G74" s="630">
        <f>SUM('CashFlow-Office'!G11,'CashFlow-Office'!G61,'CashFlow-Office'!G111)</f>
        <v>0</v>
      </c>
      <c r="H74" s="630">
        <f>SUM('CashFlow-Office'!H11,'CashFlow-Office'!H61,'CashFlow-Office'!H111)</f>
        <v>730104</v>
      </c>
      <c r="I74" s="631">
        <f>SUM('CashFlow-Office'!I11,'CashFlow-Office'!I61,'CashFlow-Office'!I111)</f>
        <v>730104</v>
      </c>
      <c r="J74" s="632">
        <f>SUM('CashFlow-Office'!J11,'CashFlow-Office'!J61,'CashFlow-Office'!J111)</f>
        <v>1235668</v>
      </c>
      <c r="K74" s="633">
        <f>SUM('CashFlow-Office'!K11,'CashFlow-Office'!K61,'CashFlow-Office'!K111)</f>
        <v>1235668</v>
      </c>
      <c r="L74" s="634">
        <f>SUM('CashFlow-Office'!L11,'CashFlow-Office'!L61,'CashFlow-Office'!L111)</f>
        <v>1235668</v>
      </c>
      <c r="M74" s="635">
        <f>SUM('CashFlow-Office'!M11,'CashFlow-Office'!M61,'CashFlow-Office'!M111)</f>
        <v>1235668</v>
      </c>
      <c r="N74" s="636">
        <f>SUM('CashFlow-Office'!N11,'CashFlow-Office'!N61,'CashFlow-Office'!N111)</f>
        <v>1235668</v>
      </c>
    </row>
    <row r="75" spans="1:14" x14ac:dyDescent="0.2">
      <c r="A75" s="457" t="s">
        <v>420</v>
      </c>
      <c r="B75" s="322"/>
      <c r="C75" s="321" t="s">
        <v>453</v>
      </c>
      <c r="D75" s="628">
        <f>SUM('CashFlow-Retail'!D11,'CashFlow-Retail'!D65,'CashFlow-Retail'!D119)</f>
        <v>0</v>
      </c>
      <c r="E75" s="628">
        <f>SUM('CashFlow-Retail'!E11,'CashFlow-Retail'!E65,'CashFlow-Retail'!E119)</f>
        <v>0</v>
      </c>
      <c r="F75" s="629">
        <f>SUM('CashFlow-Retail'!F11,'CashFlow-Retail'!F65,'CashFlow-Retail'!F119)</f>
        <v>0</v>
      </c>
      <c r="G75" s="630">
        <f>SUM('CashFlow-Retail'!G11,'CashFlow-Retail'!G65,'CashFlow-Retail'!G119)</f>
        <v>0</v>
      </c>
      <c r="H75" s="630">
        <f>SUM('CashFlow-Retail'!H11,'CashFlow-Retail'!H65,'CashFlow-Retail'!H119)</f>
        <v>37112</v>
      </c>
      <c r="I75" s="631">
        <f>SUM('CashFlow-Retail'!I11,'CashFlow-Retail'!I65,'CashFlow-Retail'!I119)</f>
        <v>37112</v>
      </c>
      <c r="J75" s="632">
        <f>SUM('CashFlow-Retail'!J11,'CashFlow-Retail'!J65,'CashFlow-Retail'!J119)</f>
        <v>129850</v>
      </c>
      <c r="K75" s="633">
        <f>SUM('CashFlow-Retail'!K11,'CashFlow-Retail'!K65,'CashFlow-Retail'!K119)</f>
        <v>129850</v>
      </c>
      <c r="L75" s="634">
        <f>SUM('CashFlow-Retail'!L11,'CashFlow-Retail'!L65,'CashFlow-Retail'!L119)</f>
        <v>236225</v>
      </c>
      <c r="M75" s="635">
        <f>SUM('CashFlow-Retail'!M11,'CashFlow-Retail'!M65,'CashFlow-Retail'!M119)</f>
        <v>236225</v>
      </c>
      <c r="N75" s="636">
        <f>SUM('CashFlow-Retail'!N11,'CashFlow-Retail'!N65,'CashFlow-Retail'!N119)</f>
        <v>236225</v>
      </c>
    </row>
    <row r="76" spans="1:14" x14ac:dyDescent="0.2">
      <c r="A76" s="371"/>
      <c r="B76" s="323" t="s">
        <v>421</v>
      </c>
      <c r="C76" s="321" t="s">
        <v>453</v>
      </c>
      <c r="D76" s="449" t="s">
        <v>554</v>
      </c>
      <c r="E76" s="449"/>
      <c r="F76" s="449"/>
      <c r="G76" s="449"/>
      <c r="H76" s="449"/>
      <c r="I76" s="449"/>
      <c r="J76" s="449"/>
      <c r="K76" s="449"/>
      <c r="L76" s="449"/>
      <c r="M76" s="449"/>
      <c r="N76" s="450"/>
    </row>
    <row r="77" spans="1:14" x14ac:dyDescent="0.2">
      <c r="A77" s="457" t="s">
        <v>73</v>
      </c>
      <c r="B77" s="322"/>
      <c r="C77" s="321" t="s">
        <v>453</v>
      </c>
      <c r="D77" s="628">
        <f>SUM('CashFlow-Hotel'!D12,'CashFlow-Hotel'!D77,'CashFlow-Hotel'!D142)</f>
        <v>0</v>
      </c>
      <c r="E77" s="628">
        <f>SUM('CashFlow-Hotel'!E12,'CashFlow-Hotel'!E77,'CashFlow-Hotel'!E142)</f>
        <v>0</v>
      </c>
      <c r="F77" s="629">
        <f>SUM('CashFlow-Hotel'!F12,'CashFlow-Hotel'!F77,'CashFlow-Hotel'!F142)</f>
        <v>0</v>
      </c>
      <c r="G77" s="630">
        <f>SUM('CashFlow-Hotel'!G12,'CashFlow-Hotel'!G77,'CashFlow-Hotel'!G142)</f>
        <v>0</v>
      </c>
      <c r="H77" s="630">
        <f>SUM('CashFlow-Hotel'!H12,'CashFlow-Hotel'!H77,'CashFlow-Hotel'!H142)</f>
        <v>0</v>
      </c>
      <c r="I77" s="631">
        <f>SUM('CashFlow-Hotel'!I12,'CashFlow-Hotel'!I77,'CashFlow-Hotel'!I142)</f>
        <v>0</v>
      </c>
      <c r="J77" s="632">
        <f>SUM('CashFlow-Hotel'!J12,'CashFlow-Hotel'!J77,'CashFlow-Hotel'!J142)</f>
        <v>0</v>
      </c>
      <c r="K77" s="633">
        <f>SUM('CashFlow-Hotel'!K12,'CashFlow-Hotel'!K77,'CashFlow-Hotel'!K142)</f>
        <v>0</v>
      </c>
      <c r="L77" s="634">
        <f>SUM('CashFlow-Hotel'!L12,'CashFlow-Hotel'!L77,'CashFlow-Hotel'!L142)</f>
        <v>333674</v>
      </c>
      <c r="M77" s="635">
        <f>SUM('CashFlow-Hotel'!M12,'CashFlow-Hotel'!M77,'CashFlow-Hotel'!M142)</f>
        <v>333674</v>
      </c>
      <c r="N77" s="636">
        <f>SUM('CashFlow-Hotel'!N12,'CashFlow-Hotel'!N77,'CashFlow-Hotel'!N142)</f>
        <v>333674</v>
      </c>
    </row>
    <row r="78" spans="1:14" x14ac:dyDescent="0.2">
      <c r="A78" s="457" t="s">
        <v>422</v>
      </c>
      <c r="B78" s="322"/>
      <c r="C78" s="321" t="s">
        <v>453</v>
      </c>
      <c r="D78" s="628">
        <f>SUM('CashFlow-Parking'!D11,'CashFlow-Parking'!D42)</f>
        <v>0</v>
      </c>
      <c r="E78" s="628">
        <f>SUM('CashFlow-Parking'!E11,'CashFlow-Parking'!E42)</f>
        <v>0</v>
      </c>
      <c r="F78" s="629">
        <f>SUM('CashFlow-Parking'!F11,'CashFlow-Parking'!F42)</f>
        <v>0</v>
      </c>
      <c r="G78" s="630">
        <f>SUM('CashFlow-Parking'!G11,'CashFlow-Parking'!G42)</f>
        <v>0</v>
      </c>
      <c r="H78" s="630">
        <f>SUM('CashFlow-Parking'!H11,'CashFlow-Parking'!H42)</f>
        <v>108850</v>
      </c>
      <c r="I78" s="631">
        <f>SUM('CashFlow-Parking'!I11,'CashFlow-Parking'!I42)</f>
        <v>108850</v>
      </c>
      <c r="J78" s="632">
        <f>SUM('CashFlow-Parking'!J11,'CashFlow-Parking'!J42)</f>
        <v>541100</v>
      </c>
      <c r="K78" s="633">
        <f>SUM('CashFlow-Parking'!K11,'CashFlow-Parking'!K42)</f>
        <v>541100</v>
      </c>
      <c r="L78" s="634">
        <f>SUM('CashFlow-Parking'!L11,'CashFlow-Parking'!L42)</f>
        <v>541100</v>
      </c>
      <c r="M78" s="635">
        <f>SUM('CashFlow-Parking'!M11,'CashFlow-Parking'!M42)</f>
        <v>541100</v>
      </c>
      <c r="N78" s="636">
        <f>SUM('CashFlow-Parking'!N11,'CashFlow-Parking'!N42)</f>
        <v>541100</v>
      </c>
    </row>
    <row r="79" spans="1:14" x14ac:dyDescent="0.2">
      <c r="A79" s="457" t="s">
        <v>423</v>
      </c>
      <c r="B79" s="322"/>
      <c r="C79" s="321" t="s">
        <v>453</v>
      </c>
      <c r="D79" s="628">
        <v>0</v>
      </c>
      <c r="E79" s="628">
        <v>0</v>
      </c>
      <c r="F79" s="629">
        <v>0</v>
      </c>
      <c r="G79" s="630">
        <v>0</v>
      </c>
      <c r="H79" s="630">
        <v>0</v>
      </c>
      <c r="I79" s="631">
        <v>0</v>
      </c>
      <c r="J79" s="632">
        <v>0</v>
      </c>
      <c r="K79" s="633">
        <v>0</v>
      </c>
      <c r="L79" s="634">
        <v>0</v>
      </c>
      <c r="M79" s="635">
        <v>0</v>
      </c>
      <c r="N79" s="636">
        <v>0</v>
      </c>
    </row>
    <row r="80" spans="1:14" x14ac:dyDescent="0.2">
      <c r="A80" s="462" t="s">
        <v>428</v>
      </c>
      <c r="B80" s="345"/>
      <c r="C80" s="346" t="s">
        <v>453</v>
      </c>
      <c r="D80" s="637">
        <v>0</v>
      </c>
      <c r="E80" s="637">
        <v>0</v>
      </c>
      <c r="F80" s="629">
        <v>0</v>
      </c>
      <c r="G80" s="630">
        <v>0</v>
      </c>
      <c r="H80" s="630">
        <v>0</v>
      </c>
      <c r="I80" s="631">
        <v>0</v>
      </c>
      <c r="J80" s="632">
        <v>0</v>
      </c>
      <c r="K80" s="633">
        <v>0</v>
      </c>
      <c r="L80" s="634">
        <v>0</v>
      </c>
      <c r="M80" s="635">
        <v>0</v>
      </c>
      <c r="N80" s="636">
        <v>0</v>
      </c>
    </row>
    <row r="81" spans="1:14" ht="12.75" thickBot="1" x14ac:dyDescent="0.25">
      <c r="A81" s="464" t="s">
        <v>32</v>
      </c>
      <c r="B81" s="465"/>
      <c r="C81" s="647" t="s">
        <v>453</v>
      </c>
      <c r="D81" s="638">
        <f>SUM(D70:D71,D74:D75,D77:D80)</f>
        <v>0</v>
      </c>
      <c r="E81" s="638">
        <f t="shared" ref="E81:N81" si="12">SUM(E70:E71,E74:E75,E77:E80)</f>
        <v>0</v>
      </c>
      <c r="F81" s="639">
        <f t="shared" si="12"/>
        <v>0</v>
      </c>
      <c r="G81" s="640">
        <f t="shared" si="12"/>
        <v>0</v>
      </c>
      <c r="H81" s="640">
        <f t="shared" si="12"/>
        <v>1280453.1400000001</v>
      </c>
      <c r="I81" s="641">
        <f t="shared" si="12"/>
        <v>1280453.1400000001</v>
      </c>
      <c r="J81" s="642">
        <f t="shared" si="12"/>
        <v>2608653.0810000002</v>
      </c>
      <c r="K81" s="643">
        <f t="shared" si="12"/>
        <v>2608653.0810000002</v>
      </c>
      <c r="L81" s="644">
        <f t="shared" si="12"/>
        <v>3247449.5214999998</v>
      </c>
      <c r="M81" s="645">
        <f t="shared" si="12"/>
        <v>3247449.5214999998</v>
      </c>
      <c r="N81" s="646">
        <f t="shared" si="12"/>
        <v>3247449.5214999998</v>
      </c>
    </row>
    <row r="82" spans="1:14" ht="12.75" thickBot="1" x14ac:dyDescent="0.25">
      <c r="A82" s="339"/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</row>
    <row r="83" spans="1:14" ht="15" x14ac:dyDescent="0.2">
      <c r="A83" s="412" t="s">
        <v>454</v>
      </c>
      <c r="B83" s="413"/>
      <c r="C83" s="413"/>
      <c r="D83" s="413"/>
      <c r="E83" s="413"/>
      <c r="F83" s="413"/>
      <c r="G83" s="466"/>
      <c r="H83" s="347"/>
      <c r="I83" s="412" t="s">
        <v>455</v>
      </c>
      <c r="J83" s="415"/>
      <c r="K83" s="415"/>
      <c r="L83" s="416"/>
    </row>
    <row r="84" spans="1:14" ht="12" customHeight="1" x14ac:dyDescent="0.2">
      <c r="A84" s="520" t="s">
        <v>432</v>
      </c>
      <c r="B84" s="521"/>
      <c r="C84" s="348" t="s">
        <v>456</v>
      </c>
      <c r="D84" s="453"/>
      <c r="E84" s="453"/>
      <c r="F84" s="350"/>
      <c r="G84" s="538" t="s">
        <v>457</v>
      </c>
      <c r="H84" s="349"/>
      <c r="I84" s="463"/>
      <c r="J84" s="350"/>
      <c r="K84" s="348" t="s">
        <v>458</v>
      </c>
      <c r="L84" s="538" t="s">
        <v>459</v>
      </c>
    </row>
    <row r="85" spans="1:14" x14ac:dyDescent="0.2">
      <c r="A85" s="532" t="s">
        <v>415</v>
      </c>
      <c r="B85" s="351" t="s">
        <v>416</v>
      </c>
      <c r="C85" s="651">
        <f>G85/SUM(N60,N62)</f>
        <v>474828.66489088116</v>
      </c>
      <c r="D85" s="454"/>
      <c r="E85" s="454"/>
      <c r="F85" s="451" t="s">
        <v>460</v>
      </c>
      <c r="G85" s="648">
        <f>SUM(D26:M26)</f>
        <v>125354767.53119263</v>
      </c>
      <c r="H85" s="339"/>
      <c r="I85" s="403" t="s">
        <v>461</v>
      </c>
      <c r="J85" s="320"/>
      <c r="K85" s="670"/>
      <c r="L85" s="405"/>
    </row>
    <row r="86" spans="1:14" x14ac:dyDescent="0.2">
      <c r="A86" s="535"/>
      <c r="B86" s="323" t="s">
        <v>417</v>
      </c>
      <c r="C86" s="652">
        <f>G86/SUM(N61,N63)</f>
        <v>492782.99755239038</v>
      </c>
      <c r="D86" s="439"/>
      <c r="E86" s="439"/>
      <c r="F86" s="448" t="s">
        <v>460</v>
      </c>
      <c r="G86" s="649">
        <f>SUM(D27:M27)</f>
        <v>336078004.33073026</v>
      </c>
      <c r="H86" s="339"/>
      <c r="I86" s="467" t="s">
        <v>556</v>
      </c>
      <c r="J86" s="322"/>
      <c r="K86" s="671">
        <f ca="1">SummarySheet2!I5+SummarySheet2!I47+SummarySheet2!I89</f>
        <v>305485522.94225121</v>
      </c>
      <c r="L86" s="679">
        <f ca="1">K86/$K$104</f>
        <v>0.18833029119242536</v>
      </c>
    </row>
    <row r="87" spans="1:14" x14ac:dyDescent="0.2">
      <c r="A87" s="532" t="s">
        <v>418</v>
      </c>
      <c r="B87" s="323" t="s">
        <v>416</v>
      </c>
      <c r="C87" s="652" t="s">
        <v>11</v>
      </c>
      <c r="D87" s="439"/>
      <c r="E87" s="439"/>
      <c r="F87" s="448" t="s">
        <v>460</v>
      </c>
      <c r="G87" s="649" t="s">
        <v>11</v>
      </c>
      <c r="H87" s="339"/>
      <c r="I87" s="678" t="s">
        <v>557</v>
      </c>
      <c r="J87" s="322"/>
      <c r="K87" s="672">
        <f>SUM(SummarySheet2!I8,SummarySheet2!I50,SummarySheet2!I92)</f>
        <v>94645611.045736268</v>
      </c>
      <c r="L87" s="679">
        <f ca="1">K87/$K$104</f>
        <v>5.834854403787279E-2</v>
      </c>
    </row>
    <row r="88" spans="1:14" x14ac:dyDescent="0.2">
      <c r="A88" s="534" t="s">
        <v>253</v>
      </c>
      <c r="B88" s="323" t="s">
        <v>416</v>
      </c>
      <c r="C88" s="652">
        <f>C85</f>
        <v>474828.66489088116</v>
      </c>
      <c r="D88" s="439"/>
      <c r="E88" s="439"/>
      <c r="F88" s="448" t="s">
        <v>460</v>
      </c>
      <c r="G88" s="649" t="s">
        <v>555</v>
      </c>
      <c r="H88" s="339"/>
      <c r="I88" s="467"/>
      <c r="J88" s="322"/>
      <c r="K88" s="673"/>
      <c r="L88" s="396"/>
    </row>
    <row r="89" spans="1:14" x14ac:dyDescent="0.2">
      <c r="A89" s="535"/>
      <c r="B89" s="323" t="s">
        <v>417</v>
      </c>
      <c r="C89" s="652">
        <f>C86</f>
        <v>492782.99755239038</v>
      </c>
      <c r="D89" s="439"/>
      <c r="E89" s="439"/>
      <c r="F89" s="448" t="s">
        <v>460</v>
      </c>
      <c r="G89" s="649" t="s">
        <v>555</v>
      </c>
      <c r="H89" s="339"/>
      <c r="I89" s="467"/>
      <c r="J89" s="322"/>
      <c r="K89" s="673"/>
      <c r="L89" s="396"/>
    </row>
    <row r="90" spans="1:14" x14ac:dyDescent="0.2">
      <c r="A90" s="533" t="s">
        <v>419</v>
      </c>
      <c r="B90" s="322"/>
      <c r="C90" s="652">
        <f>G90/N74</f>
        <v>481.41512155725275</v>
      </c>
      <c r="D90" s="439"/>
      <c r="E90" s="439"/>
      <c r="F90" s="448" t="s">
        <v>462</v>
      </c>
      <c r="G90" s="649">
        <f>SUM(D31:M31)</f>
        <v>594869260.42440736</v>
      </c>
      <c r="H90" s="339"/>
      <c r="I90" s="468"/>
      <c r="J90" s="352"/>
      <c r="K90" s="674"/>
      <c r="L90" s="397"/>
    </row>
    <row r="91" spans="1:14" x14ac:dyDescent="0.2">
      <c r="A91" s="533" t="s">
        <v>433</v>
      </c>
      <c r="B91" s="322"/>
      <c r="C91" s="652">
        <f>G91/N75</f>
        <v>625.75045016983643</v>
      </c>
      <c r="D91" s="439"/>
      <c r="E91" s="439"/>
      <c r="F91" s="448" t="s">
        <v>462</v>
      </c>
      <c r="G91" s="649">
        <f t="shared" ref="G91:G92" si="13">SUM(D32:M32)</f>
        <v>147817900.0913696</v>
      </c>
      <c r="H91" s="339"/>
      <c r="I91" s="404" t="s">
        <v>463</v>
      </c>
      <c r="J91" s="320"/>
      <c r="K91" s="675"/>
      <c r="L91" s="400"/>
    </row>
    <row r="92" spans="1:14" x14ac:dyDescent="0.2">
      <c r="A92" s="533" t="s">
        <v>73</v>
      </c>
      <c r="B92" s="322"/>
      <c r="C92" s="652">
        <f>G92/N65</f>
        <v>289879.8481097215</v>
      </c>
      <c r="D92" s="439"/>
      <c r="E92" s="439"/>
      <c r="F92" s="448" t="s">
        <v>464</v>
      </c>
      <c r="G92" s="649">
        <f t="shared" si="13"/>
        <v>189001660.96753842</v>
      </c>
      <c r="H92" s="339"/>
      <c r="I92" s="457" t="s">
        <v>94</v>
      </c>
      <c r="J92" s="322"/>
      <c r="K92" s="673">
        <f ca="1">SUM(SummarySheet2!I7,SummarySheet2!I49,SummarySheet2!I91)</f>
        <v>916456568.82675385</v>
      </c>
      <c r="L92" s="679">
        <f t="shared" ref="L92:L93" ca="1" si="14">K92/$K$104</f>
        <v>0.56499087357727629</v>
      </c>
    </row>
    <row r="93" spans="1:14" x14ac:dyDescent="0.2">
      <c r="A93" s="533" t="s">
        <v>422</v>
      </c>
      <c r="B93" s="322"/>
      <c r="C93" s="652">
        <f>G93/N66</f>
        <v>54181.871548031217</v>
      </c>
      <c r="D93" s="439"/>
      <c r="E93" s="439"/>
      <c r="F93" s="448" t="s">
        <v>465</v>
      </c>
      <c r="G93" s="649">
        <f>SUM(D36:M36)</f>
        <v>83765173.413256258</v>
      </c>
      <c r="H93" s="339"/>
      <c r="I93" s="457" t="s">
        <v>95</v>
      </c>
      <c r="J93" s="322"/>
      <c r="K93" s="673">
        <f ca="1">SUM(SummarySheet2!I90,SummarySheet2!I48,SummarySheet2!I6)</f>
        <v>305485522.94225132</v>
      </c>
      <c r="L93" s="679">
        <f t="shared" ca="1" si="14"/>
        <v>0.18833029119242545</v>
      </c>
    </row>
    <row r="94" spans="1:14" x14ac:dyDescent="0.2">
      <c r="A94" s="533" t="s">
        <v>423</v>
      </c>
      <c r="B94" s="322"/>
      <c r="C94" s="652" t="s">
        <v>11</v>
      </c>
      <c r="D94" s="439"/>
      <c r="E94" s="439"/>
      <c r="F94" s="448" t="s">
        <v>465</v>
      </c>
      <c r="G94" s="649">
        <v>0</v>
      </c>
      <c r="H94" s="339"/>
      <c r="I94" s="457"/>
      <c r="J94" s="322"/>
      <c r="K94" s="673"/>
      <c r="L94" s="396"/>
    </row>
    <row r="95" spans="1:14" x14ac:dyDescent="0.2">
      <c r="A95" s="537" t="s">
        <v>428</v>
      </c>
      <c r="B95" s="345"/>
      <c r="C95" s="653" t="s">
        <v>11</v>
      </c>
      <c r="D95" s="455"/>
      <c r="E95" s="455"/>
      <c r="F95" s="452" t="s">
        <v>465</v>
      </c>
      <c r="G95" s="650">
        <v>0</v>
      </c>
      <c r="H95" s="339"/>
      <c r="I95" s="457"/>
      <c r="J95" s="322"/>
      <c r="K95" s="673"/>
      <c r="L95" s="396"/>
    </row>
    <row r="96" spans="1:14" x14ac:dyDescent="0.2">
      <c r="A96" s="379" t="s">
        <v>466</v>
      </c>
      <c r="B96" s="335"/>
      <c r="C96" s="353" t="s">
        <v>467</v>
      </c>
      <c r="D96" s="456"/>
      <c r="E96" s="456"/>
      <c r="F96" s="469"/>
      <c r="G96" s="398" t="s">
        <v>468</v>
      </c>
      <c r="H96" s="339"/>
      <c r="I96" s="457"/>
      <c r="J96" s="322"/>
      <c r="K96" s="673"/>
      <c r="L96" s="396"/>
    </row>
    <row r="97" spans="1:14" x14ac:dyDescent="0.2">
      <c r="A97" s="399"/>
      <c r="B97" s="323" t="s">
        <v>469</v>
      </c>
      <c r="C97" s="664">
        <v>0</v>
      </c>
      <c r="D97" s="655"/>
      <c r="E97" s="655"/>
      <c r="F97" s="654"/>
      <c r="G97" s="666">
        <f>SUM('Assumptions-Land&amp;Infrastructure'!M22:M23)</f>
        <v>3691200</v>
      </c>
      <c r="H97" s="339"/>
      <c r="I97" s="457"/>
      <c r="J97" s="322"/>
      <c r="K97" s="676"/>
      <c r="L97" s="470"/>
    </row>
    <row r="98" spans="1:14" x14ac:dyDescent="0.2">
      <c r="A98" s="399"/>
      <c r="B98" s="323" t="s">
        <v>470</v>
      </c>
      <c r="C98" s="665">
        <v>0</v>
      </c>
      <c r="D98" s="657"/>
      <c r="E98" s="657"/>
      <c r="F98" s="656"/>
      <c r="G98" s="667">
        <f>SUM('Assumptions-Land&amp;Infrastructure'!M11:M13)</f>
        <v>3580808.0808080807</v>
      </c>
      <c r="H98" s="339"/>
      <c r="I98" s="404" t="s">
        <v>471</v>
      </c>
      <c r="J98" s="320"/>
      <c r="K98" s="675"/>
      <c r="L98" s="395"/>
    </row>
    <row r="99" spans="1:14" x14ac:dyDescent="0.2">
      <c r="A99" s="399"/>
      <c r="B99" s="323" t="s">
        <v>472</v>
      </c>
      <c r="C99" s="665">
        <v>0</v>
      </c>
      <c r="D99" s="657"/>
      <c r="E99" s="657"/>
      <c r="F99" s="656"/>
      <c r="G99" s="667">
        <f>SUM('Assumptions-Land&amp;Infrastructure'!M20:M21,'Assumptions-Land&amp;Infrastructure'!M18)</f>
        <v>2171030</v>
      </c>
      <c r="H99" s="339"/>
      <c r="I99" s="457" t="s">
        <v>537</v>
      </c>
      <c r="J99" s="322"/>
      <c r="K99" s="673"/>
      <c r="L99" s="396"/>
    </row>
    <row r="100" spans="1:14" x14ac:dyDescent="0.2">
      <c r="A100" s="399"/>
      <c r="B100" s="323" t="s">
        <v>473</v>
      </c>
      <c r="C100" s="665">
        <v>0</v>
      </c>
      <c r="D100" s="657"/>
      <c r="E100" s="657"/>
      <c r="F100" s="656"/>
      <c r="G100" s="667">
        <f>SUM('Assumptions-Land&amp;Infrastructure'!M8:M10)</f>
        <v>7090000</v>
      </c>
      <c r="H100" s="339"/>
      <c r="I100" s="457"/>
      <c r="J100" s="322"/>
      <c r="K100" s="673"/>
      <c r="L100" s="396"/>
    </row>
    <row r="101" spans="1:14" x14ac:dyDescent="0.2">
      <c r="A101" s="401"/>
      <c r="B101" s="355" t="s">
        <v>474</v>
      </c>
      <c r="C101" s="665">
        <v>0</v>
      </c>
      <c r="D101" s="658"/>
      <c r="E101" s="658"/>
      <c r="F101" s="656"/>
      <c r="G101" s="667">
        <f>SUM('Assumptions-Land&amp;Infrastructure'!M14:M15,'Assumptions-Land&amp;Infrastructure'!M16,'Assumptions-Land&amp;Infrastructure'!M17,'Assumptions-Land&amp;Infrastructure'!M19)</f>
        <v>63144000</v>
      </c>
      <c r="H101" s="339"/>
      <c r="I101" s="457"/>
      <c r="J101" s="322"/>
      <c r="K101" s="673"/>
      <c r="L101" s="396"/>
    </row>
    <row r="102" spans="1:14" x14ac:dyDescent="0.2">
      <c r="A102" s="384"/>
      <c r="B102" s="336" t="s">
        <v>475</v>
      </c>
      <c r="C102" s="659"/>
      <c r="D102" s="660"/>
      <c r="E102" s="660"/>
      <c r="F102" s="659"/>
      <c r="G102" s="668">
        <f ca="1">SUM(SummarySheet2!I20,SummarySheet2!I62,SummarySheet2!I104)</f>
        <v>12219420.917690052</v>
      </c>
      <c r="H102" s="339"/>
      <c r="I102" s="457"/>
      <c r="J102" s="322"/>
      <c r="K102" s="673"/>
      <c r="L102" s="396"/>
    </row>
    <row r="103" spans="1:14" x14ac:dyDescent="0.2">
      <c r="A103" s="384"/>
      <c r="B103" s="336" t="s">
        <v>476</v>
      </c>
      <c r="C103" s="659"/>
      <c r="D103" s="660"/>
      <c r="E103" s="660"/>
      <c r="F103" s="659"/>
      <c r="G103" s="668">
        <f>SUM(G97:G101)</f>
        <v>79677038.080808073</v>
      </c>
      <c r="H103" s="339"/>
      <c r="I103" s="457"/>
      <c r="J103" s="322"/>
      <c r="K103" s="673"/>
      <c r="L103" s="396"/>
    </row>
    <row r="104" spans="1:14" ht="12.75" thickBot="1" x14ac:dyDescent="0.25">
      <c r="A104" s="385"/>
      <c r="B104" s="402" t="s">
        <v>435</v>
      </c>
      <c r="C104" s="661"/>
      <c r="D104" s="662"/>
      <c r="E104" s="662"/>
      <c r="F104" s="663"/>
      <c r="G104" s="669">
        <f ca="1">SUM(SummarySheet2!I105,SummarySheet2!I63,SummarySheet2!I21)</f>
        <v>1622073225.7569928</v>
      </c>
      <c r="H104" s="356"/>
      <c r="I104" s="464" t="s">
        <v>32</v>
      </c>
      <c r="J104" s="406"/>
      <c r="K104" s="677">
        <f ca="1">SUM(K85:K103)</f>
        <v>1622073225.7569928</v>
      </c>
      <c r="L104" s="680">
        <v>1</v>
      </c>
    </row>
    <row r="105" spans="1:14" x14ac:dyDescent="0.2">
      <c r="A105" s="339"/>
      <c r="B105" s="339"/>
      <c r="C105" s="357"/>
      <c r="D105" s="339"/>
      <c r="E105" s="339"/>
      <c r="F105" s="358"/>
      <c r="G105" s="339"/>
      <c r="H105" s="339"/>
      <c r="I105" s="339"/>
      <c r="J105" s="339"/>
      <c r="K105" s="339"/>
      <c r="L105" s="339"/>
      <c r="M105" s="339"/>
      <c r="N105" s="339"/>
    </row>
    <row r="106" spans="1:14" x14ac:dyDescent="0.2">
      <c r="A106" s="339"/>
      <c r="B106" s="339"/>
      <c r="C106" s="357"/>
      <c r="D106" s="339"/>
      <c r="E106" s="339"/>
      <c r="F106" s="358"/>
      <c r="G106" s="339"/>
      <c r="H106" s="339"/>
      <c r="I106" s="339"/>
      <c r="J106" s="339"/>
      <c r="K106" s="339"/>
      <c r="L106" s="339"/>
      <c r="M106" s="339"/>
      <c r="N106" s="339"/>
    </row>
    <row r="107" spans="1:14" x14ac:dyDescent="0.2">
      <c r="A107" s="339"/>
      <c r="B107" s="339"/>
      <c r="C107" s="357"/>
      <c r="D107" s="339"/>
      <c r="E107" s="339"/>
      <c r="F107" s="358"/>
      <c r="G107" s="339"/>
      <c r="H107" s="339"/>
      <c r="I107" s="339"/>
      <c r="J107" s="339"/>
      <c r="K107" s="339"/>
      <c r="L107" s="339"/>
      <c r="M107" s="339"/>
      <c r="N107" s="339"/>
    </row>
    <row r="108" spans="1:14" x14ac:dyDescent="0.2">
      <c r="A108" s="339"/>
      <c r="B108" s="339"/>
      <c r="C108" s="357"/>
      <c r="D108" s="339"/>
      <c r="E108" s="339"/>
      <c r="F108" s="358"/>
      <c r="G108" s="339"/>
      <c r="H108" s="339"/>
      <c r="I108" s="339"/>
      <c r="J108" s="339"/>
      <c r="K108" s="339"/>
      <c r="L108" s="339"/>
      <c r="M108" s="339"/>
      <c r="N108" s="339"/>
    </row>
  </sheetData>
  <mergeCells count="18">
    <mergeCell ref="F2:I2"/>
    <mergeCell ref="J2:K2"/>
    <mergeCell ref="F57:I57"/>
    <mergeCell ref="J57:K57"/>
    <mergeCell ref="L2:M2"/>
    <mergeCell ref="L57:M57"/>
    <mergeCell ref="C12:N12"/>
    <mergeCell ref="C8:N8"/>
    <mergeCell ref="C6:N6"/>
    <mergeCell ref="C9:N9"/>
    <mergeCell ref="C29:N29"/>
    <mergeCell ref="C30:N30"/>
    <mergeCell ref="C40:N40"/>
    <mergeCell ref="D64:N64"/>
    <mergeCell ref="D72:N72"/>
    <mergeCell ref="D73:N73"/>
    <mergeCell ref="D76:N76"/>
    <mergeCell ref="A84:B84"/>
  </mergeCells>
  <pageMargins left="0.7" right="0.7" top="1.5" bottom="0.75" header="0.5" footer="0.3"/>
  <pageSetup paperSize="3" scale="78" orientation="portrait" r:id="rId1"/>
  <headerFooter>
    <oddHeader>&amp;C&amp;G</oddHeader>
    <oddFooter>&amp;R&amp;12TEAM 181430_FINANCIAL PRO FORMA (1 OF 2)</oddFooter>
  </headerFooter>
  <ignoredErrors>
    <ignoredError sqref="C7:D7 C10 D17 C18:D20 D15 C14:D14 C16:D16 C15 C21:D28 C17 C34:D35 C31 C32 C33 C37:D37 C36" formulaRange="1"/>
    <ignoredError sqref="C46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B275-FF11-43D3-95F9-3504321D3106}">
  <sheetPr>
    <tabColor theme="8" tint="0.39997558519241921"/>
  </sheetPr>
  <dimension ref="B1:Q17"/>
  <sheetViews>
    <sheetView workbookViewId="0">
      <selection activeCell="K6" sqref="K6:N14"/>
    </sheetView>
    <sheetView workbookViewId="1"/>
  </sheetViews>
  <sheetFormatPr defaultRowHeight="12" x14ac:dyDescent="0.2"/>
  <cols>
    <col min="1" max="1" width="2.85546875" style="1" customWidth="1"/>
    <col min="2" max="2" width="25.28515625" style="1" bestFit="1" customWidth="1"/>
    <col min="3" max="3" width="9.140625" style="1"/>
    <col min="4" max="4" width="6.7109375" style="1" bestFit="1" customWidth="1"/>
    <col min="5" max="5" width="7.7109375" style="1" bestFit="1" customWidth="1"/>
    <col min="6" max="6" width="7.85546875" style="1" bestFit="1" customWidth="1"/>
    <col min="7" max="7" width="2.85546875" style="1" customWidth="1"/>
    <col min="8" max="8" width="19.28515625" style="1" bestFit="1" customWidth="1"/>
    <col min="9" max="9" width="14.5703125" style="1" bestFit="1" customWidth="1"/>
    <col min="10" max="10" width="2.85546875" style="1" customWidth="1"/>
    <col min="11" max="11" width="25.28515625" style="1" bestFit="1" customWidth="1"/>
    <col min="12" max="13" width="8.5703125" style="1" customWidth="1"/>
    <col min="14" max="14" width="12.140625" style="1" bestFit="1" customWidth="1"/>
    <col min="15" max="15" width="2.85546875" style="1" customWidth="1"/>
    <col min="16" max="16" width="23.7109375" style="1" bestFit="1" customWidth="1"/>
    <col min="17" max="17" width="9.5703125" style="1" bestFit="1" customWidth="1"/>
    <col min="18" max="16384" width="9.140625" style="1"/>
  </cols>
  <sheetData>
    <row r="1" spans="2:17" ht="12.75" thickBot="1" x14ac:dyDescent="0.25"/>
    <row r="2" spans="2:17" x14ac:dyDescent="0.2">
      <c r="B2" s="417" t="s">
        <v>59</v>
      </c>
      <c r="C2" s="418"/>
    </row>
    <row r="3" spans="2:17" x14ac:dyDescent="0.2">
      <c r="B3" s="4" t="s">
        <v>58</v>
      </c>
      <c r="C3" s="5" t="str">
        <f>ProjectName</f>
        <v>Montage</v>
      </c>
    </row>
    <row r="4" spans="2:17" ht="12.75" thickBot="1" x14ac:dyDescent="0.25">
      <c r="B4" s="6" t="s">
        <v>56</v>
      </c>
      <c r="C4" s="7">
        <f>TeamNumber</f>
        <v>181430</v>
      </c>
    </row>
    <row r="5" spans="2:17" ht="12.75" thickBot="1" x14ac:dyDescent="0.25"/>
    <row r="6" spans="2:17" x14ac:dyDescent="0.2">
      <c r="B6" s="419" t="s">
        <v>225</v>
      </c>
      <c r="C6" s="420"/>
      <c r="D6" s="420"/>
      <c r="E6" s="420"/>
      <c r="F6" s="421"/>
      <c r="H6" s="419" t="s">
        <v>229</v>
      </c>
      <c r="I6" s="421"/>
      <c r="K6" s="419" t="s">
        <v>232</v>
      </c>
      <c r="L6" s="420"/>
      <c r="M6" s="420"/>
      <c r="N6" s="421"/>
      <c r="P6" s="419" t="s">
        <v>250</v>
      </c>
      <c r="Q6" s="421"/>
    </row>
    <row r="7" spans="2:17" x14ac:dyDescent="0.2">
      <c r="B7" s="50"/>
      <c r="C7" s="34"/>
      <c r="D7" s="64" t="s">
        <v>171</v>
      </c>
      <c r="E7" s="34" t="s">
        <v>171</v>
      </c>
      <c r="F7" s="5" t="s">
        <v>171</v>
      </c>
      <c r="H7" s="435" t="s">
        <v>230</v>
      </c>
      <c r="I7" s="436"/>
      <c r="K7" s="4"/>
      <c r="L7" s="431" t="s">
        <v>174</v>
      </c>
      <c r="M7" s="432"/>
      <c r="N7" s="13"/>
      <c r="P7" s="53" t="s">
        <v>251</v>
      </c>
      <c r="Q7" s="56" t="s">
        <v>213</v>
      </c>
    </row>
    <row r="8" spans="2:17" x14ac:dyDescent="0.2">
      <c r="B8" s="53" t="s">
        <v>226</v>
      </c>
      <c r="C8" s="54" t="s">
        <v>170</v>
      </c>
      <c r="D8" s="55" t="s">
        <v>29</v>
      </c>
      <c r="E8" s="54" t="s">
        <v>28</v>
      </c>
      <c r="F8" s="56" t="s">
        <v>27</v>
      </c>
      <c r="H8" s="53" t="s">
        <v>226</v>
      </c>
      <c r="I8" s="56" t="s">
        <v>213</v>
      </c>
      <c r="K8" s="53" t="s">
        <v>226</v>
      </c>
      <c r="L8" s="196" t="s">
        <v>237</v>
      </c>
      <c r="M8" s="198" t="s">
        <v>238</v>
      </c>
      <c r="N8" s="56" t="s">
        <v>233</v>
      </c>
      <c r="P8" s="4" t="s">
        <v>477</v>
      </c>
      <c r="Q8" s="96">
        <v>0</v>
      </c>
    </row>
    <row r="9" spans="2:17" x14ac:dyDescent="0.2">
      <c r="B9" s="4" t="s">
        <v>74</v>
      </c>
      <c r="C9" s="57">
        <f>SUM(D9:F9)</f>
        <v>54413</v>
      </c>
      <c r="D9" s="58">
        <v>0</v>
      </c>
      <c r="E9" s="57">
        <f>BuildingSummary!O21</f>
        <v>54413</v>
      </c>
      <c r="F9" s="59">
        <v>0</v>
      </c>
      <c r="H9" s="4" t="str">
        <f>B9</f>
        <v>Grocery</v>
      </c>
      <c r="I9" s="93">
        <v>0</v>
      </c>
      <c r="K9" s="4" t="str">
        <f>B9</f>
        <v>Grocery</v>
      </c>
      <c r="L9" s="224">
        <v>33</v>
      </c>
      <c r="M9" s="225">
        <f>L9/12</f>
        <v>2.75</v>
      </c>
      <c r="N9" s="218" t="s">
        <v>234</v>
      </c>
      <c r="P9" s="4" t="s">
        <v>231</v>
      </c>
      <c r="Q9" s="96">
        <v>0.05</v>
      </c>
    </row>
    <row r="10" spans="2:17" x14ac:dyDescent="0.2">
      <c r="B10" s="4" t="s">
        <v>72</v>
      </c>
      <c r="C10" s="57">
        <f>SUM(D10:F10)</f>
        <v>22926</v>
      </c>
      <c r="D10" s="58">
        <v>0</v>
      </c>
      <c r="E10" s="57">
        <f>BuildingSummary!J21</f>
        <v>22926</v>
      </c>
      <c r="F10" s="59">
        <v>0</v>
      </c>
      <c r="H10" s="4" t="str">
        <f>B10</f>
        <v>Food Hall</v>
      </c>
      <c r="I10" s="93">
        <v>0</v>
      </c>
      <c r="K10" s="4" t="str">
        <f>B10</f>
        <v>Food Hall</v>
      </c>
      <c r="L10" s="224">
        <v>33</v>
      </c>
      <c r="M10" s="225">
        <f t="shared" ref="M10:M14" si="0">L10/12</f>
        <v>2.75</v>
      </c>
      <c r="N10" s="218" t="s">
        <v>234</v>
      </c>
      <c r="P10" s="4" t="s">
        <v>262</v>
      </c>
      <c r="Q10" s="96">
        <v>0.3</v>
      </c>
    </row>
    <row r="11" spans="2:17" x14ac:dyDescent="0.2">
      <c r="B11" s="4" t="s">
        <v>75</v>
      </c>
      <c r="C11" s="57">
        <f>SUM(D11:F11)</f>
        <v>35987</v>
      </c>
      <c r="D11" s="58">
        <v>0</v>
      </c>
      <c r="E11" s="57">
        <v>0</v>
      </c>
      <c r="F11" s="59">
        <f>BuildingSummary!P26</f>
        <v>35987</v>
      </c>
      <c r="H11" s="4" t="str">
        <f>B11</f>
        <v>Fitness Center</v>
      </c>
      <c r="I11" s="93">
        <v>0</v>
      </c>
      <c r="K11" s="4" t="str">
        <f>B11</f>
        <v>Fitness Center</v>
      </c>
      <c r="L11" s="224">
        <v>33</v>
      </c>
      <c r="M11" s="225">
        <f t="shared" ref="M11" si="1">L11/12</f>
        <v>2.75</v>
      </c>
      <c r="N11" s="218" t="s">
        <v>234</v>
      </c>
      <c r="P11" s="4"/>
      <c r="Q11" s="96"/>
    </row>
    <row r="12" spans="2:17" x14ac:dyDescent="0.2">
      <c r="B12" s="4" t="s">
        <v>227</v>
      </c>
      <c r="C12" s="57">
        <f>SUM(D12:F12)</f>
        <v>104464.15</v>
      </c>
      <c r="D12" s="58">
        <f>(SUMIF(BuildingSummary!$C$18:$Q$18,D$8,BuildingSummary!$C$21:$Q$21)-SUM(D$9:D$10))*(1-$I$12)</f>
        <v>31545.200000000001</v>
      </c>
      <c r="E12" s="57">
        <f>(SUMIF(BuildingSummary!$C$18:$Q$18,E$8,BuildingSummary!$C$21:$Q$21)-SUM(E$9:E$10))*(1-$I$12)</f>
        <v>13089.15</v>
      </c>
      <c r="F12" s="59">
        <f>(SUMIF(BuildingSummary!$C$18:$Q$18,F$8,BuildingSummary!$C$21:$Q$21)-SUM(F$9:F$10))*(1-$I$12)</f>
        <v>59829.799999999996</v>
      </c>
      <c r="H12" s="147" t="s">
        <v>231</v>
      </c>
      <c r="I12" s="223">
        <v>0.15</v>
      </c>
      <c r="K12" s="4" t="str">
        <f>B12</f>
        <v>Market Rate Non-Anchor Space</v>
      </c>
      <c r="L12" s="224">
        <v>65</v>
      </c>
      <c r="M12" s="225">
        <f t="shared" si="0"/>
        <v>5.416666666666667</v>
      </c>
      <c r="N12" s="218" t="s">
        <v>234</v>
      </c>
      <c r="P12" s="4"/>
      <c r="Q12" s="13"/>
    </row>
    <row r="13" spans="2:17" ht="12.75" thickBot="1" x14ac:dyDescent="0.25">
      <c r="B13" s="4" t="s">
        <v>228</v>
      </c>
      <c r="C13" s="60">
        <f>SUM(D13:F13)</f>
        <v>18434.849999999999</v>
      </c>
      <c r="D13" s="61">
        <f>(SUMIF(BuildingSummary!$C$18:$Q$18,D$8,BuildingSummary!$C$21:$Q$21)-SUM(D$9:D$10))*$I$12</f>
        <v>5566.8</v>
      </c>
      <c r="E13" s="62">
        <f>(SUMIF(BuildingSummary!$C$18:$Q$18,E$8,BuildingSummary!$C$21:$Q$21)-SUM(E$9:E$10))*$I$12</f>
        <v>2309.85</v>
      </c>
      <c r="F13" s="63">
        <f>(SUMIF(BuildingSummary!$C$18:$Q$18,F$8,BuildingSummary!$C$21:$Q$21)-SUM(F$9:F$10))*$I$12</f>
        <v>10558.199999999999</v>
      </c>
      <c r="H13" s="6" t="s">
        <v>236</v>
      </c>
      <c r="I13" s="212">
        <v>0.2</v>
      </c>
      <c r="K13" s="4" t="str">
        <f>B13</f>
        <v>Affordable Non-Anchor Space</v>
      </c>
      <c r="L13" s="226">
        <f>L12*(1-I13)</f>
        <v>52</v>
      </c>
      <c r="M13" s="227">
        <f t="shared" si="0"/>
        <v>4.333333333333333</v>
      </c>
      <c r="N13" s="220" t="s">
        <v>234</v>
      </c>
      <c r="P13" s="53" t="s">
        <v>255</v>
      </c>
      <c r="Q13" s="56"/>
    </row>
    <row r="14" spans="2:17" ht="12.75" thickBot="1" x14ac:dyDescent="0.25">
      <c r="B14" s="6" t="s">
        <v>32</v>
      </c>
      <c r="C14" s="65">
        <f>SUM(C9:C13)</f>
        <v>236225</v>
      </c>
      <c r="D14" s="66">
        <f>SUM(D9:D13)</f>
        <v>37112</v>
      </c>
      <c r="E14" s="65">
        <f>SUM(E9:E13)</f>
        <v>92738</v>
      </c>
      <c r="F14" s="67">
        <f>SUM(F9:F13)</f>
        <v>106374.99999999999</v>
      </c>
      <c r="K14" s="6" t="s">
        <v>235</v>
      </c>
      <c r="L14" s="228">
        <f>SUMPRODUCT(L9:L13,C9:C13)/C14</f>
        <v>48.633886972166366</v>
      </c>
      <c r="M14" s="229">
        <f t="shared" si="0"/>
        <v>4.0528239143471971</v>
      </c>
      <c r="N14" s="219" t="s">
        <v>234</v>
      </c>
      <c r="P14" s="4" t="s">
        <v>340</v>
      </c>
      <c r="Q14" s="215">
        <v>18</v>
      </c>
    </row>
    <row r="15" spans="2:17" x14ac:dyDescent="0.2">
      <c r="P15" s="4"/>
      <c r="Q15" s="93"/>
    </row>
    <row r="16" spans="2:17" ht="12.75" thickBot="1" x14ac:dyDescent="0.25">
      <c r="L16" s="239"/>
      <c r="P16" s="6" t="s">
        <v>263</v>
      </c>
      <c r="Q16" s="232">
        <v>0.2</v>
      </c>
    </row>
    <row r="17" spans="3:3" x14ac:dyDescent="0.2">
      <c r="C17" s="138"/>
    </row>
  </sheetData>
  <mergeCells count="7">
    <mergeCell ref="H7:I7"/>
    <mergeCell ref="H6:I6"/>
    <mergeCell ref="L7:M7"/>
    <mergeCell ref="P6:Q6"/>
    <mergeCell ref="B2:C2"/>
    <mergeCell ref="B6:F6"/>
    <mergeCell ref="K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715B-435F-4514-9C0B-EC9298AEF0DC}">
  <sheetPr>
    <tabColor theme="2" tint="-0.499984740745262"/>
  </sheetPr>
  <dimension ref="B1:N173"/>
  <sheetViews>
    <sheetView topLeftCell="A88" workbookViewId="0"/>
    <sheetView workbookViewId="1"/>
  </sheetViews>
  <sheetFormatPr defaultRowHeight="12" x14ac:dyDescent="0.2"/>
  <cols>
    <col min="1" max="1" width="2.85546875" style="1" customWidth="1"/>
    <col min="2" max="2" width="35.85546875" style="1" bestFit="1" customWidth="1"/>
    <col min="3" max="3" width="9.140625" style="1"/>
    <col min="4" max="14" width="11.42578125" style="1" customWidth="1"/>
    <col min="15" max="16384" width="9.140625" style="1"/>
  </cols>
  <sheetData>
    <row r="1" spans="2:14" ht="12.75" thickBot="1" x14ac:dyDescent="0.25"/>
    <row r="2" spans="2:14" x14ac:dyDescent="0.2">
      <c r="B2" s="417" t="s">
        <v>59</v>
      </c>
      <c r="C2" s="418"/>
    </row>
    <row r="3" spans="2:14" x14ac:dyDescent="0.2">
      <c r="B3" s="4" t="s">
        <v>58</v>
      </c>
      <c r="C3" s="5" t="str">
        <f>ProjectName</f>
        <v>Montage</v>
      </c>
    </row>
    <row r="4" spans="2:14" ht="12.75" thickBot="1" x14ac:dyDescent="0.25">
      <c r="B4" s="6" t="s">
        <v>56</v>
      </c>
      <c r="C4" s="7">
        <f>TeamNumber</f>
        <v>181430</v>
      </c>
    </row>
    <row r="5" spans="2:14" ht="12.75" thickBot="1" x14ac:dyDescent="0.25"/>
    <row r="6" spans="2:14" x14ac:dyDescent="0.2">
      <c r="B6" s="419" t="s">
        <v>330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1"/>
    </row>
    <row r="7" spans="2:14" x14ac:dyDescent="0.2">
      <c r="B7" s="4" t="s">
        <v>290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">
      <c r="B8" s="4" t="s">
        <v>291</v>
      </c>
      <c r="C8" s="12"/>
      <c r="D8" s="12">
        <f>YEAR('Assumptions-Overall'!C9)</f>
        <v>2018</v>
      </c>
      <c r="E8" s="12">
        <f>D8+1</f>
        <v>2019</v>
      </c>
      <c r="F8" s="12">
        <f t="shared" si="0"/>
        <v>2020</v>
      </c>
      <c r="G8" s="12">
        <f t="shared" si="0"/>
        <v>2021</v>
      </c>
      <c r="H8" s="12">
        <f t="shared" si="0"/>
        <v>2022</v>
      </c>
      <c r="I8" s="12">
        <f t="shared" si="0"/>
        <v>2023</v>
      </c>
      <c r="J8" s="12">
        <f t="shared" si="0"/>
        <v>2024</v>
      </c>
      <c r="K8" s="12">
        <f t="shared" si="0"/>
        <v>2025</v>
      </c>
      <c r="L8" s="12">
        <f t="shared" si="0"/>
        <v>2026</v>
      </c>
      <c r="M8" s="12">
        <f t="shared" si="0"/>
        <v>2027</v>
      </c>
      <c r="N8" s="13">
        <f t="shared" si="0"/>
        <v>2028</v>
      </c>
    </row>
    <row r="9" spans="2:14" x14ac:dyDescent="0.2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">
      <c r="B10" s="243" t="s">
        <v>292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">
      <c r="B11" s="4" t="s">
        <v>293</v>
      </c>
      <c r="C11" s="12"/>
      <c r="D11" s="244">
        <f>SUM(D15:D19)</f>
        <v>0</v>
      </c>
      <c r="E11" s="244">
        <f t="shared" ref="E11:N11" si="1">SUM(E15:E19)</f>
        <v>0</v>
      </c>
      <c r="F11" s="244">
        <f t="shared" si="1"/>
        <v>0</v>
      </c>
      <c r="G11" s="244">
        <f t="shared" si="1"/>
        <v>0</v>
      </c>
      <c r="H11" s="244">
        <f t="shared" si="1"/>
        <v>37112</v>
      </c>
      <c r="I11" s="244">
        <f t="shared" si="1"/>
        <v>37112</v>
      </c>
      <c r="J11" s="244">
        <f t="shared" si="1"/>
        <v>37112</v>
      </c>
      <c r="K11" s="244">
        <f t="shared" si="1"/>
        <v>37112</v>
      </c>
      <c r="L11" s="244">
        <f t="shared" si="1"/>
        <v>37112</v>
      </c>
      <c r="M11" s="244">
        <f t="shared" si="1"/>
        <v>37112</v>
      </c>
      <c r="N11" s="245">
        <f t="shared" si="1"/>
        <v>37112</v>
      </c>
    </row>
    <row r="12" spans="2:14" x14ac:dyDescent="0.2">
      <c r="B12" s="4" t="s">
        <v>294</v>
      </c>
      <c r="C12" s="12"/>
      <c r="D12" s="244">
        <f>D11-C11</f>
        <v>0</v>
      </c>
      <c r="E12" s="244">
        <f t="shared" ref="E12:N12" si="2">E11-D11</f>
        <v>0</v>
      </c>
      <c r="F12" s="244">
        <f t="shared" si="2"/>
        <v>0</v>
      </c>
      <c r="G12" s="244">
        <f t="shared" si="2"/>
        <v>0</v>
      </c>
      <c r="H12" s="244">
        <f t="shared" si="2"/>
        <v>37112</v>
      </c>
      <c r="I12" s="244">
        <f t="shared" si="2"/>
        <v>0</v>
      </c>
      <c r="J12" s="244">
        <f t="shared" si="2"/>
        <v>0</v>
      </c>
      <c r="K12" s="244">
        <f t="shared" si="2"/>
        <v>0</v>
      </c>
      <c r="L12" s="244">
        <f t="shared" si="2"/>
        <v>0</v>
      </c>
      <c r="M12" s="244">
        <f t="shared" si="2"/>
        <v>0</v>
      </c>
      <c r="N12" s="245">
        <f t="shared" si="2"/>
        <v>0</v>
      </c>
    </row>
    <row r="13" spans="2:14" x14ac:dyDescent="0.2">
      <c r="B13" s="4"/>
      <c r="C13" s="12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/>
    </row>
    <row r="14" spans="2:14" x14ac:dyDescent="0.2">
      <c r="B14" s="53" t="s">
        <v>331</v>
      </c>
      <c r="C14" s="12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</row>
    <row r="15" spans="2:14" x14ac:dyDescent="0.2">
      <c r="B15" s="4" t="str">
        <f>'Assumptions-Retail'!B9</f>
        <v>Grocery</v>
      </c>
      <c r="C15" s="12"/>
      <c r="D15" s="244">
        <f>(D$8&gt;=YEAR(PhaseIComplete))*'Assumptions-Retail'!$D9</f>
        <v>0</v>
      </c>
      <c r="E15" s="244">
        <f>(E$8&gt;=YEAR(PhaseIComplete))*'Assumptions-Retail'!$D9</f>
        <v>0</v>
      </c>
      <c r="F15" s="244">
        <f>(F$8&gt;=YEAR(PhaseIComplete))*'Assumptions-Retail'!$D9</f>
        <v>0</v>
      </c>
      <c r="G15" s="244">
        <f>(G$8&gt;=YEAR(PhaseIComplete))*'Assumptions-Retail'!$D9</f>
        <v>0</v>
      </c>
      <c r="H15" s="244">
        <f>(H$8&gt;=YEAR(PhaseIComplete))*'Assumptions-Retail'!$D9</f>
        <v>0</v>
      </c>
      <c r="I15" s="244">
        <f>(I$8&gt;=YEAR(PhaseIComplete))*'Assumptions-Retail'!$D9</f>
        <v>0</v>
      </c>
      <c r="J15" s="244">
        <f>(J$8&gt;=YEAR(PhaseIComplete))*'Assumptions-Retail'!$D9</f>
        <v>0</v>
      </c>
      <c r="K15" s="244">
        <f>(K$8&gt;=YEAR(PhaseIComplete))*'Assumptions-Retail'!$D9</f>
        <v>0</v>
      </c>
      <c r="L15" s="244">
        <f>(L$8&gt;=YEAR(PhaseIComplete))*'Assumptions-Retail'!$D9</f>
        <v>0</v>
      </c>
      <c r="M15" s="244">
        <f>(M$8&gt;=YEAR(PhaseIComplete))*'Assumptions-Retail'!$D9</f>
        <v>0</v>
      </c>
      <c r="N15" s="245">
        <f>(N$8&gt;=YEAR(PhaseIComplete))*'Assumptions-Retail'!$D9</f>
        <v>0</v>
      </c>
    </row>
    <row r="16" spans="2:14" x14ac:dyDescent="0.2">
      <c r="B16" s="4" t="str">
        <f>'Assumptions-Retail'!B10</f>
        <v>Food Hall</v>
      </c>
      <c r="C16" s="12"/>
      <c r="D16" s="244">
        <f>(D$8&gt;=YEAR(PhaseIComplete))*'Assumptions-Retail'!$D10</f>
        <v>0</v>
      </c>
      <c r="E16" s="244">
        <f>(E$8&gt;=YEAR(PhaseIComplete))*'Assumptions-Retail'!$D10</f>
        <v>0</v>
      </c>
      <c r="F16" s="244">
        <f>(F$8&gt;=YEAR(PhaseIComplete))*'Assumptions-Retail'!$D10</f>
        <v>0</v>
      </c>
      <c r="G16" s="244">
        <f>(G$8&gt;=YEAR(PhaseIComplete))*'Assumptions-Retail'!$D10</f>
        <v>0</v>
      </c>
      <c r="H16" s="244">
        <f>(H$8&gt;=YEAR(PhaseIComplete))*'Assumptions-Retail'!$D10</f>
        <v>0</v>
      </c>
      <c r="I16" s="244">
        <f>(I$8&gt;=YEAR(PhaseIComplete))*'Assumptions-Retail'!$D10</f>
        <v>0</v>
      </c>
      <c r="J16" s="244">
        <f>(J$8&gt;=YEAR(PhaseIComplete))*'Assumptions-Retail'!$D10</f>
        <v>0</v>
      </c>
      <c r="K16" s="244">
        <f>(K$8&gt;=YEAR(PhaseIComplete))*'Assumptions-Retail'!$D10</f>
        <v>0</v>
      </c>
      <c r="L16" s="244">
        <f>(L$8&gt;=YEAR(PhaseIComplete))*'Assumptions-Retail'!$D10</f>
        <v>0</v>
      </c>
      <c r="M16" s="244">
        <f>(M$8&gt;=YEAR(PhaseIComplete))*'Assumptions-Retail'!$D10</f>
        <v>0</v>
      </c>
      <c r="N16" s="245">
        <f>(N$8&gt;=YEAR(PhaseIComplete))*'Assumptions-Retail'!$D10</f>
        <v>0</v>
      </c>
    </row>
    <row r="17" spans="2:14" x14ac:dyDescent="0.2">
      <c r="B17" s="4" t="str">
        <f>'Assumptions-Retail'!B11</f>
        <v>Fitness Center</v>
      </c>
      <c r="C17" s="12"/>
      <c r="D17" s="244">
        <f>(D$8&gt;=YEAR(PhaseIComplete))*'Assumptions-Retail'!$D11</f>
        <v>0</v>
      </c>
      <c r="E17" s="244">
        <f>(E$8&gt;=YEAR(PhaseIComplete))*'Assumptions-Retail'!$D11</f>
        <v>0</v>
      </c>
      <c r="F17" s="244">
        <f>(F$8&gt;=YEAR(PhaseIComplete))*'Assumptions-Retail'!$D11</f>
        <v>0</v>
      </c>
      <c r="G17" s="244">
        <f>(G$8&gt;=YEAR(PhaseIComplete))*'Assumptions-Retail'!$D11</f>
        <v>0</v>
      </c>
      <c r="H17" s="244">
        <f>(H$8&gt;=YEAR(PhaseIComplete))*'Assumptions-Retail'!$D11</f>
        <v>0</v>
      </c>
      <c r="I17" s="244">
        <f>(I$8&gt;=YEAR(PhaseIComplete))*'Assumptions-Retail'!$D11</f>
        <v>0</v>
      </c>
      <c r="J17" s="244">
        <f>(J$8&gt;=YEAR(PhaseIComplete))*'Assumptions-Retail'!$D11</f>
        <v>0</v>
      </c>
      <c r="K17" s="244">
        <f>(K$8&gt;=YEAR(PhaseIComplete))*'Assumptions-Retail'!$D11</f>
        <v>0</v>
      </c>
      <c r="L17" s="244">
        <f>(L$8&gt;=YEAR(PhaseIComplete))*'Assumptions-Retail'!$D11</f>
        <v>0</v>
      </c>
      <c r="M17" s="244">
        <f>(M$8&gt;=YEAR(PhaseIComplete))*'Assumptions-Retail'!$D11</f>
        <v>0</v>
      </c>
      <c r="N17" s="245">
        <f>(N$8&gt;=YEAR(PhaseIComplete))*'Assumptions-Retail'!$D11</f>
        <v>0</v>
      </c>
    </row>
    <row r="18" spans="2:14" x14ac:dyDescent="0.2">
      <c r="B18" s="4" t="str">
        <f>'Assumptions-Retail'!B12</f>
        <v>Market Rate Non-Anchor Space</v>
      </c>
      <c r="C18" s="12"/>
      <c r="D18" s="244">
        <f>(D$8&gt;=YEAR(PhaseIComplete))*'Assumptions-Retail'!$D12</f>
        <v>0</v>
      </c>
      <c r="E18" s="244">
        <f>(E$8&gt;=YEAR(PhaseIComplete))*'Assumptions-Retail'!$D12</f>
        <v>0</v>
      </c>
      <c r="F18" s="244">
        <f>(F$8&gt;=YEAR(PhaseIComplete))*'Assumptions-Retail'!$D12</f>
        <v>0</v>
      </c>
      <c r="G18" s="244">
        <f>(G$8&gt;=YEAR(PhaseIComplete))*'Assumptions-Retail'!$D12</f>
        <v>0</v>
      </c>
      <c r="H18" s="244">
        <f>(H$8&gt;=YEAR(PhaseIComplete))*'Assumptions-Retail'!$D12</f>
        <v>31545.200000000001</v>
      </c>
      <c r="I18" s="244">
        <f>(I$8&gt;=YEAR(PhaseIComplete))*'Assumptions-Retail'!$D12</f>
        <v>31545.200000000001</v>
      </c>
      <c r="J18" s="244">
        <f>(J$8&gt;=YEAR(PhaseIComplete))*'Assumptions-Retail'!$D12</f>
        <v>31545.200000000001</v>
      </c>
      <c r="K18" s="244">
        <f>(K$8&gt;=YEAR(PhaseIComplete))*'Assumptions-Retail'!$D12</f>
        <v>31545.200000000001</v>
      </c>
      <c r="L18" s="244">
        <f>(L$8&gt;=YEAR(PhaseIComplete))*'Assumptions-Retail'!$D12</f>
        <v>31545.200000000001</v>
      </c>
      <c r="M18" s="244">
        <f>(M$8&gt;=YEAR(PhaseIComplete))*'Assumptions-Retail'!$D12</f>
        <v>31545.200000000001</v>
      </c>
      <c r="N18" s="245">
        <f>(N$8&gt;=YEAR(PhaseIComplete))*'Assumptions-Retail'!$D12</f>
        <v>31545.200000000001</v>
      </c>
    </row>
    <row r="19" spans="2:14" x14ac:dyDescent="0.2">
      <c r="B19" s="4" t="str">
        <f>'Assumptions-Retail'!B13</f>
        <v>Affordable Non-Anchor Space</v>
      </c>
      <c r="C19" s="12"/>
      <c r="D19" s="244">
        <f>(D$8&gt;=YEAR(PhaseIComplete))*'Assumptions-Retail'!$D13</f>
        <v>0</v>
      </c>
      <c r="E19" s="244">
        <f>(E$8&gt;=YEAR(PhaseIComplete))*'Assumptions-Retail'!$D13</f>
        <v>0</v>
      </c>
      <c r="F19" s="244">
        <f>(F$8&gt;=YEAR(PhaseIComplete))*'Assumptions-Retail'!$D13</f>
        <v>0</v>
      </c>
      <c r="G19" s="244">
        <f>(G$8&gt;=YEAR(PhaseIComplete))*'Assumptions-Retail'!$D13</f>
        <v>0</v>
      </c>
      <c r="H19" s="244">
        <f>(H$8&gt;=YEAR(PhaseIComplete))*'Assumptions-Retail'!$D13</f>
        <v>5566.8</v>
      </c>
      <c r="I19" s="244">
        <f>(I$8&gt;=YEAR(PhaseIComplete))*'Assumptions-Retail'!$D13</f>
        <v>5566.8</v>
      </c>
      <c r="J19" s="244">
        <f>(J$8&gt;=YEAR(PhaseIComplete))*'Assumptions-Retail'!$D13</f>
        <v>5566.8</v>
      </c>
      <c r="K19" s="244">
        <f>(K$8&gt;=YEAR(PhaseIComplete))*'Assumptions-Retail'!$D13</f>
        <v>5566.8</v>
      </c>
      <c r="L19" s="244">
        <f>(L$8&gt;=YEAR(PhaseIComplete))*'Assumptions-Retail'!$D13</f>
        <v>5566.8</v>
      </c>
      <c r="M19" s="244">
        <f>(M$8&gt;=YEAR(PhaseIComplete))*'Assumptions-Retail'!$D13</f>
        <v>5566.8</v>
      </c>
      <c r="N19" s="245">
        <f>(N$8&gt;=YEAR(PhaseIComplete))*'Assumptions-Retail'!$D13</f>
        <v>5566.8</v>
      </c>
    </row>
    <row r="20" spans="2:14" x14ac:dyDescent="0.2">
      <c r="B20" s="4"/>
      <c r="C20" s="12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</row>
    <row r="21" spans="2:14" x14ac:dyDescent="0.2">
      <c r="B21" s="53" t="s">
        <v>307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2:14" x14ac:dyDescent="0.2">
      <c r="B22" s="4" t="s">
        <v>336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2:14" x14ac:dyDescent="0.2">
      <c r="B23" s="246" t="s">
        <v>478</v>
      </c>
      <c r="C23" s="12"/>
      <c r="D23" s="242">
        <f>SUMPRODUCT(D15:D17,'Assumptions-Retail'!$L$9:$L$11)*(1+'Assumptions-Overall'!$C$35)^('CashFlow-Retail'!D$7-1)</f>
        <v>0</v>
      </c>
      <c r="E23" s="242">
        <f>SUMPRODUCT(E15:E17,'Assumptions-Retail'!$L$9:$L$11)*(1+'Assumptions-Overall'!$C$35)^('CashFlow-Retail'!E$7-1)</f>
        <v>0</v>
      </c>
      <c r="F23" s="242">
        <f>SUMPRODUCT(F15:F17,'Assumptions-Retail'!$L$9:$L$11)*(1+'Assumptions-Overall'!$C$35)^('CashFlow-Retail'!F$7-1)</f>
        <v>0</v>
      </c>
      <c r="G23" s="242">
        <f>SUMPRODUCT(G15:G17,'Assumptions-Retail'!$L$9:$L$11)*(1+'Assumptions-Overall'!$C$35)^('CashFlow-Retail'!G$7-1)</f>
        <v>0</v>
      </c>
      <c r="H23" s="242">
        <f>SUMPRODUCT(H15:H17,'Assumptions-Retail'!$L$9:$L$11)*(1+'Assumptions-Overall'!$C$35)^('CashFlow-Retail'!H$7-1)</f>
        <v>0</v>
      </c>
      <c r="I23" s="242">
        <f>SUMPRODUCT(I15:I17,'Assumptions-Retail'!$L$9:$L$11)*(1+'Assumptions-Overall'!$C$35)^('CashFlow-Retail'!I$7-1)</f>
        <v>0</v>
      </c>
      <c r="J23" s="242">
        <f>SUMPRODUCT(J15:J17,'Assumptions-Retail'!$L$9:$L$11)*(1+'Assumptions-Overall'!$C$35)^('CashFlow-Retail'!J$7-1)</f>
        <v>0</v>
      </c>
      <c r="K23" s="242">
        <f>SUMPRODUCT(K15:K17,'Assumptions-Retail'!$L$9:$L$11)*(1+'Assumptions-Overall'!$C$35)^('CashFlow-Retail'!K$7-1)</f>
        <v>0</v>
      </c>
      <c r="L23" s="242">
        <f>SUMPRODUCT(L15:L17,'Assumptions-Retail'!$L$9:$L$11)*(1+'Assumptions-Overall'!$C$35)^('CashFlow-Retail'!L$7-1)</f>
        <v>0</v>
      </c>
      <c r="M23" s="242">
        <f>SUMPRODUCT(M15:M17,'Assumptions-Retail'!$L$9:$L$11)*(1+'Assumptions-Overall'!$C$35)^('CashFlow-Retail'!M$7-1)</f>
        <v>0</v>
      </c>
      <c r="N23" s="247">
        <f>SUMPRODUCT(N15:N17,'Assumptions-Retail'!$L$9:$L$11)*(1+'Assumptions-Overall'!$C$35)^('CashFlow-Retail'!N$7-1)</f>
        <v>0</v>
      </c>
    </row>
    <row r="24" spans="2:14" x14ac:dyDescent="0.2">
      <c r="B24" s="246" t="s">
        <v>333</v>
      </c>
      <c r="C24" s="12"/>
      <c r="D24" s="240">
        <f>SUMPRODUCT(D18:D19,'Assumptions-Retail'!$L$12:$L$13)*(1+'Assumptions-Overall'!$C$35)^('CashFlow-Retail'!D$7-1)</f>
        <v>0</v>
      </c>
      <c r="E24" s="240">
        <f>SUMPRODUCT(E18:E19,'Assumptions-Retail'!$L$12:$L$13)*(1+'Assumptions-Overall'!$C$35)^('CashFlow-Retail'!E$7-1)</f>
        <v>0</v>
      </c>
      <c r="F24" s="240">
        <f>SUMPRODUCT(F18:F19,'Assumptions-Retail'!$L$12:$L$13)*(1+'Assumptions-Overall'!$C$35)^('CashFlow-Retail'!F$7-1)</f>
        <v>0</v>
      </c>
      <c r="G24" s="240">
        <f>SUMPRODUCT(G18:G19,'Assumptions-Retail'!$L$12:$L$13)*(1+'Assumptions-Overall'!$C$35)^('CashFlow-Retail'!G$7-1)</f>
        <v>0</v>
      </c>
      <c r="H24" s="240">
        <f>SUMPRODUCT(H18:H19,'Assumptions-Retail'!$L$12:$L$13)*(1+'Assumptions-Overall'!$C$35)^('CashFlow-Retail'!H$7-1)</f>
        <v>2633591.1204211959</v>
      </c>
      <c r="I24" s="240">
        <f>SUMPRODUCT(I18:I19,'Assumptions-Retail'!$L$12:$L$13)*(1+'Assumptions-Overall'!$C$35)^('CashFlow-Retail'!I$7-1)</f>
        <v>2712598.8540338315</v>
      </c>
      <c r="J24" s="240">
        <f>SUMPRODUCT(J18:J19,'Assumptions-Retail'!$L$12:$L$13)*(1+'Assumptions-Overall'!$C$35)^('CashFlow-Retail'!J$7-1)</f>
        <v>2793976.8196548466</v>
      </c>
      <c r="K24" s="240">
        <f>SUMPRODUCT(K18:K19,'Assumptions-Retail'!$L$12:$L$13)*(1+'Assumptions-Overall'!$C$35)^('CashFlow-Retail'!K$7-1)</f>
        <v>2877796.1242444925</v>
      </c>
      <c r="L24" s="240">
        <f>SUMPRODUCT(L18:L19,'Assumptions-Retail'!$L$12:$L$13)*(1+'Assumptions-Overall'!$C$35)^('CashFlow-Retail'!L$7-1)</f>
        <v>2964130.0079718269</v>
      </c>
      <c r="M24" s="240">
        <f>SUMPRODUCT(M18:M19,'Assumptions-Retail'!$L$12:$L$13)*(1+'Assumptions-Overall'!$C$35)^('CashFlow-Retail'!M$7-1)</f>
        <v>3053053.9082109816</v>
      </c>
      <c r="N24" s="248">
        <f>SUMPRODUCT(N18:N19,'Assumptions-Retail'!$L$12:$L$13)*(1+'Assumptions-Overall'!$C$35)^('CashFlow-Retail'!N$7-1)</f>
        <v>3144645.525457311</v>
      </c>
    </row>
    <row r="25" spans="2:14" x14ac:dyDescent="0.2">
      <c r="B25" s="4" t="s">
        <v>337</v>
      </c>
      <c r="C25" s="12"/>
      <c r="D25" s="242">
        <f t="shared" ref="D25:N25" si="3">SUM(D23:D24)</f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2633591.1204211959</v>
      </c>
      <c r="I25" s="242">
        <f t="shared" si="3"/>
        <v>2712598.8540338315</v>
      </c>
      <c r="J25" s="242">
        <f t="shared" si="3"/>
        <v>2793976.8196548466</v>
      </c>
      <c r="K25" s="242">
        <f t="shared" si="3"/>
        <v>2877796.1242444925</v>
      </c>
      <c r="L25" s="242">
        <f t="shared" si="3"/>
        <v>2964130.0079718269</v>
      </c>
      <c r="M25" s="242">
        <f t="shared" si="3"/>
        <v>3053053.9082109816</v>
      </c>
      <c r="N25" s="247">
        <f t="shared" si="3"/>
        <v>3144645.525457311</v>
      </c>
    </row>
    <row r="26" spans="2:14" x14ac:dyDescent="0.2">
      <c r="B26" s="4"/>
      <c r="C26" s="1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7"/>
    </row>
    <row r="27" spans="2:14" x14ac:dyDescent="0.2">
      <c r="B27" s="4" t="s">
        <v>338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2:14" x14ac:dyDescent="0.2">
      <c r="B28" s="246" t="str">
        <f>B23</f>
        <v>Grocery/Food Hall/Fitness Anchors</v>
      </c>
      <c r="C28" s="12"/>
      <c r="D28" s="242">
        <f>IFERROR(-SUM(D15:D17)/D11*D40,0)</f>
        <v>0</v>
      </c>
      <c r="E28" s="242">
        <f t="shared" ref="E28:N28" si="4">IFERROR(-SUM(E15:E17)/E11*E40,0)</f>
        <v>0</v>
      </c>
      <c r="F28" s="242">
        <f t="shared" si="4"/>
        <v>0</v>
      </c>
      <c r="G28" s="242">
        <f t="shared" si="4"/>
        <v>0</v>
      </c>
      <c r="H28" s="242">
        <f t="shared" si="4"/>
        <v>0</v>
      </c>
      <c r="I28" s="242">
        <f t="shared" si="4"/>
        <v>0</v>
      </c>
      <c r="J28" s="242">
        <f t="shared" si="4"/>
        <v>0</v>
      </c>
      <c r="K28" s="242">
        <f t="shared" si="4"/>
        <v>0</v>
      </c>
      <c r="L28" s="242">
        <f t="shared" si="4"/>
        <v>0</v>
      </c>
      <c r="M28" s="242">
        <f t="shared" si="4"/>
        <v>0</v>
      </c>
      <c r="N28" s="247">
        <f t="shared" si="4"/>
        <v>0</v>
      </c>
    </row>
    <row r="29" spans="2:14" x14ac:dyDescent="0.2">
      <c r="B29" s="246" t="s">
        <v>333</v>
      </c>
      <c r="C29" s="12"/>
      <c r="D29" s="240">
        <f>-D40-D28</f>
        <v>0</v>
      </c>
      <c r="E29" s="240">
        <f t="shared" ref="E29:N29" si="5">-E40-E28</f>
        <v>0</v>
      </c>
      <c r="F29" s="240">
        <f t="shared" si="5"/>
        <v>0</v>
      </c>
      <c r="G29" s="240">
        <f t="shared" si="5"/>
        <v>0</v>
      </c>
      <c r="H29" s="240">
        <f t="shared" si="5"/>
        <v>751857.89322095993</v>
      </c>
      <c r="I29" s="240">
        <f t="shared" si="5"/>
        <v>774413.63001758873</v>
      </c>
      <c r="J29" s="240">
        <f t="shared" si="5"/>
        <v>797646.03891811636</v>
      </c>
      <c r="K29" s="240">
        <f t="shared" si="5"/>
        <v>821575.42008565995</v>
      </c>
      <c r="L29" s="240">
        <f t="shared" si="5"/>
        <v>846222.6826882296</v>
      </c>
      <c r="M29" s="240">
        <f t="shared" si="5"/>
        <v>871609.36316887662</v>
      </c>
      <c r="N29" s="248">
        <f t="shared" si="5"/>
        <v>897757.64406394283</v>
      </c>
    </row>
    <row r="30" spans="2:14" x14ac:dyDescent="0.2">
      <c r="B30" s="4" t="s">
        <v>339</v>
      </c>
      <c r="C30" s="12"/>
      <c r="D30" s="242">
        <f t="shared" ref="D30:N30" si="6">SUM(D28:D29)</f>
        <v>0</v>
      </c>
      <c r="E30" s="242">
        <f t="shared" si="6"/>
        <v>0</v>
      </c>
      <c r="F30" s="242">
        <f t="shared" si="6"/>
        <v>0</v>
      </c>
      <c r="G30" s="242">
        <f t="shared" si="6"/>
        <v>0</v>
      </c>
      <c r="H30" s="242">
        <f t="shared" si="6"/>
        <v>751857.89322095993</v>
      </c>
      <c r="I30" s="242">
        <f t="shared" si="6"/>
        <v>774413.63001758873</v>
      </c>
      <c r="J30" s="242">
        <f t="shared" si="6"/>
        <v>797646.03891811636</v>
      </c>
      <c r="K30" s="242">
        <f t="shared" si="6"/>
        <v>821575.42008565995</v>
      </c>
      <c r="L30" s="242">
        <f t="shared" si="6"/>
        <v>846222.6826882296</v>
      </c>
      <c r="M30" s="242">
        <f t="shared" si="6"/>
        <v>871609.36316887662</v>
      </c>
      <c r="N30" s="247">
        <f t="shared" si="6"/>
        <v>897757.64406394283</v>
      </c>
    </row>
    <row r="31" spans="2:14" x14ac:dyDescent="0.2">
      <c r="B31" s="4"/>
      <c r="C31" s="1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7"/>
    </row>
    <row r="32" spans="2:14" x14ac:dyDescent="0.2">
      <c r="B32" s="4" t="s">
        <v>301</v>
      </c>
      <c r="C32" s="1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7"/>
    </row>
    <row r="33" spans="2:14" x14ac:dyDescent="0.2">
      <c r="B33" s="246" t="s">
        <v>334</v>
      </c>
      <c r="C33" s="12"/>
      <c r="D33" s="242">
        <f>-(D23+D28)*'Assumptions-Retail'!$Q$8</f>
        <v>0</v>
      </c>
      <c r="E33" s="242">
        <f>-(E23+E28)*'Assumptions-Retail'!$Q$8</f>
        <v>0</v>
      </c>
      <c r="F33" s="242">
        <f>-(F23+F28)*'Assumptions-Retail'!$Q$8</f>
        <v>0</v>
      </c>
      <c r="G33" s="242">
        <f>-(G23+G28)*'Assumptions-Retail'!$Q$8</f>
        <v>0</v>
      </c>
      <c r="H33" s="242">
        <f>-(H23+H28)*'Assumptions-Retail'!$Q$8</f>
        <v>0</v>
      </c>
      <c r="I33" s="242">
        <f>-(I23+I28)*'Assumptions-Retail'!$Q$8</f>
        <v>0</v>
      </c>
      <c r="J33" s="242">
        <f>-(J23+J28)*'Assumptions-Retail'!$Q$8</f>
        <v>0</v>
      </c>
      <c r="K33" s="242">
        <f>-(K23+K28)*'Assumptions-Retail'!$Q$8</f>
        <v>0</v>
      </c>
      <c r="L33" s="242">
        <f>-(L23+L28)*'Assumptions-Retail'!$Q$8</f>
        <v>0</v>
      </c>
      <c r="M33" s="242">
        <f>-(M23+M28)*'Assumptions-Retail'!$Q$8</f>
        <v>0</v>
      </c>
      <c r="N33" s="247">
        <f>-(N23+N28)*'Assumptions-Retail'!$Q$8</f>
        <v>0</v>
      </c>
    </row>
    <row r="34" spans="2:14" x14ac:dyDescent="0.2">
      <c r="B34" s="246" t="s">
        <v>335</v>
      </c>
      <c r="C34" s="12"/>
      <c r="D34" s="242">
        <f>-(D24+D29)*'Assumptions-Retail'!$Q$9</f>
        <v>0</v>
      </c>
      <c r="E34" s="242">
        <f>-(E24+E29)*'Assumptions-Retail'!$Q$9</f>
        <v>0</v>
      </c>
      <c r="F34" s="242">
        <f>-(F24+F29)*'Assumptions-Retail'!$Q$9</f>
        <v>0</v>
      </c>
      <c r="G34" s="242">
        <f>-(G24+G29)*'Assumptions-Retail'!$Q$9</f>
        <v>0</v>
      </c>
      <c r="H34" s="242">
        <f>-(H24+H29)*'Assumptions-Retail'!$Q$9</f>
        <v>-169272.4506821078</v>
      </c>
      <c r="I34" s="242">
        <f>-(I24+I29)*'Assumptions-Retail'!$Q$9</f>
        <v>-174350.62420257102</v>
      </c>
      <c r="J34" s="242">
        <f>-(J24+J29)*'Assumptions-Retail'!$Q$9</f>
        <v>-179581.14292864816</v>
      </c>
      <c r="K34" s="242">
        <f>-(K24+K29)*'Assumptions-Retail'!$Q$9</f>
        <v>-184968.57721650763</v>
      </c>
      <c r="L34" s="242">
        <f>-(L24+L29)*'Assumptions-Retail'!$Q$9</f>
        <v>-190517.63453300286</v>
      </c>
      <c r="M34" s="242">
        <f>-(M24+M29)*'Assumptions-Retail'!$Q$9</f>
        <v>-196233.16356899292</v>
      </c>
      <c r="N34" s="247">
        <f>-(N24+N29)*'Assumptions-Retail'!$Q$9</f>
        <v>-202120.1584760627</v>
      </c>
    </row>
    <row r="35" spans="2:14" x14ac:dyDescent="0.2">
      <c r="B35" s="246" t="s">
        <v>304</v>
      </c>
      <c r="C35" s="12"/>
      <c r="D35" s="240">
        <f>-(C24=0)*((D24+D29)*'Assumptions-Retail'!$Q$10+SUM('CashFlow-Retail'!D34))</f>
        <v>0</v>
      </c>
      <c r="E35" s="240">
        <f>-(D24=0)*((E24+E29)*'Assumptions-Retail'!$Q$10+SUM('CashFlow-Retail'!E34))</f>
        <v>0</v>
      </c>
      <c r="F35" s="240">
        <f>-(E24=0)*((F24+F29)*'Assumptions-Retail'!$Q$10+SUM('CashFlow-Retail'!F34))</f>
        <v>0</v>
      </c>
      <c r="G35" s="240">
        <f>-(F24=0)*((G24+G29)*'Assumptions-Retail'!$Q$10+SUM('CashFlow-Retail'!G34))</f>
        <v>0</v>
      </c>
      <c r="H35" s="240">
        <f>-(G24=0)*((H24+H29)*'Assumptions-Retail'!$Q$10+SUM('CashFlow-Retail'!H34))</f>
        <v>-846362.25341053877</v>
      </c>
      <c r="I35" s="240">
        <f>-(H24=0)*((I24+I29)*'Assumptions-Retail'!$Q$10+SUM('CashFlow-Retail'!I34))</f>
        <v>0</v>
      </c>
      <c r="J35" s="240">
        <f>-(I24=0)*((J24+J29)*'Assumptions-Retail'!$Q$10+SUM('CashFlow-Retail'!J34))</f>
        <v>0</v>
      </c>
      <c r="K35" s="240">
        <f>-(J24=0)*((K24+K29)*'Assumptions-Retail'!$Q$10+SUM('CashFlow-Retail'!K34))</f>
        <v>0</v>
      </c>
      <c r="L35" s="240">
        <f>-(K24=0)*((L24+L29)*'Assumptions-Retail'!$Q$10+SUM('CashFlow-Retail'!L34))</f>
        <v>0</v>
      </c>
      <c r="M35" s="240">
        <f>-(L24=0)*((M24+M29)*'Assumptions-Retail'!$Q$10+SUM('CashFlow-Retail'!M34))</f>
        <v>0</v>
      </c>
      <c r="N35" s="248">
        <f>-(M24=0)*((N24+N29)*'Assumptions-Retail'!$Q$10+SUM('CashFlow-Retail'!N34))</f>
        <v>0</v>
      </c>
    </row>
    <row r="36" spans="2:14" x14ac:dyDescent="0.2">
      <c r="B36" s="4" t="s">
        <v>305</v>
      </c>
      <c r="C36" s="12"/>
      <c r="D36" s="242">
        <f t="shared" ref="D36:N36" si="7">SUM(D33:D35)</f>
        <v>0</v>
      </c>
      <c r="E36" s="242">
        <f t="shared" si="7"/>
        <v>0</v>
      </c>
      <c r="F36" s="242">
        <f t="shared" si="7"/>
        <v>0</v>
      </c>
      <c r="G36" s="242">
        <f t="shared" si="7"/>
        <v>0</v>
      </c>
      <c r="H36" s="242">
        <f t="shared" si="7"/>
        <v>-1015634.7040926466</v>
      </c>
      <c r="I36" s="242">
        <f t="shared" si="7"/>
        <v>-174350.62420257102</v>
      </c>
      <c r="J36" s="242">
        <f t="shared" si="7"/>
        <v>-179581.14292864816</v>
      </c>
      <c r="K36" s="242">
        <f t="shared" si="7"/>
        <v>-184968.57721650763</v>
      </c>
      <c r="L36" s="242">
        <f t="shared" si="7"/>
        <v>-190517.63453300286</v>
      </c>
      <c r="M36" s="242">
        <f t="shared" si="7"/>
        <v>-196233.16356899292</v>
      </c>
      <c r="N36" s="247">
        <f t="shared" si="7"/>
        <v>-202120.1584760627</v>
      </c>
    </row>
    <row r="37" spans="2:14" x14ac:dyDescent="0.2">
      <c r="B37" s="4"/>
      <c r="C37" s="12"/>
      <c r="D37" s="242"/>
      <c r="E37" s="242"/>
      <c r="F37" s="242"/>
      <c r="G37" s="242"/>
      <c r="H37" s="211"/>
      <c r="I37" s="242"/>
      <c r="J37" s="242"/>
      <c r="K37" s="242"/>
      <c r="L37" s="242"/>
      <c r="M37" s="242"/>
      <c r="N37" s="247"/>
    </row>
    <row r="38" spans="2:14" x14ac:dyDescent="0.2">
      <c r="B38" s="4" t="s">
        <v>306</v>
      </c>
      <c r="C38" s="12"/>
      <c r="D38" s="241">
        <f>D25+D30+D36</f>
        <v>0</v>
      </c>
      <c r="E38" s="241">
        <f t="shared" ref="E38:N38" si="8">E25+E30+E36</f>
        <v>0</v>
      </c>
      <c r="F38" s="241">
        <f t="shared" si="8"/>
        <v>0</v>
      </c>
      <c r="G38" s="241">
        <f t="shared" si="8"/>
        <v>0</v>
      </c>
      <c r="H38" s="241">
        <f t="shared" si="8"/>
        <v>2369814.3095495091</v>
      </c>
      <c r="I38" s="241">
        <f t="shared" si="8"/>
        <v>3312661.8598488495</v>
      </c>
      <c r="J38" s="241">
        <f t="shared" si="8"/>
        <v>3412041.7156443144</v>
      </c>
      <c r="K38" s="241">
        <f t="shared" si="8"/>
        <v>3514402.9671136448</v>
      </c>
      <c r="L38" s="241">
        <f t="shared" si="8"/>
        <v>3619835.0561270537</v>
      </c>
      <c r="M38" s="241">
        <f t="shared" si="8"/>
        <v>3728430.1078108652</v>
      </c>
      <c r="N38" s="249">
        <f t="shared" si="8"/>
        <v>3840283.011045191</v>
      </c>
    </row>
    <row r="39" spans="2:14" x14ac:dyDescent="0.2">
      <c r="B39" s="4"/>
      <c r="C39" s="1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7"/>
    </row>
    <row r="40" spans="2:14" x14ac:dyDescent="0.2">
      <c r="B40" s="4" t="s">
        <v>308</v>
      </c>
      <c r="C40" s="12"/>
      <c r="D40" s="242">
        <f>-D11*'Assumptions-Retail'!$Q$14*(1+'Assumptions-Overall'!$C$39)^('CashFlow-Retail'!D$7-1)</f>
        <v>0</v>
      </c>
      <c r="E40" s="242">
        <f>-E11*'Assumptions-Retail'!$Q$14*(1+'Assumptions-Overall'!$C$39)^('CashFlow-Retail'!E$7-1)</f>
        <v>0</v>
      </c>
      <c r="F40" s="242">
        <f>-F11*'Assumptions-Retail'!$Q$14*(1+'Assumptions-Overall'!$C$39)^('CashFlow-Retail'!F$7-1)</f>
        <v>0</v>
      </c>
      <c r="G40" s="242">
        <f>-G11*'Assumptions-Retail'!$Q$14*(1+'Assumptions-Overall'!$C$39)^('CashFlow-Retail'!G$7-1)</f>
        <v>0</v>
      </c>
      <c r="H40" s="242">
        <f>-H11*'Assumptions-Retail'!$Q$14*(1+'Assumptions-Overall'!$C$39)^('CashFlow-Retail'!H$7-1)</f>
        <v>-751857.89322095993</v>
      </c>
      <c r="I40" s="242">
        <f>-I11*'Assumptions-Retail'!$Q$14*(1+'Assumptions-Overall'!$C$39)^('CashFlow-Retail'!I$7-1)</f>
        <v>-774413.63001758873</v>
      </c>
      <c r="J40" s="242">
        <f>-J11*'Assumptions-Retail'!$Q$14*(1+'Assumptions-Overall'!$C$39)^('CashFlow-Retail'!J$7-1)</f>
        <v>-797646.03891811636</v>
      </c>
      <c r="K40" s="242">
        <f>-K11*'Assumptions-Retail'!$Q$14*(1+'Assumptions-Overall'!$C$39)^('CashFlow-Retail'!K$7-1)</f>
        <v>-821575.42008565995</v>
      </c>
      <c r="L40" s="242">
        <f>-L11*'Assumptions-Retail'!$Q$14*(1+'Assumptions-Overall'!$C$39)^('CashFlow-Retail'!L$7-1)</f>
        <v>-846222.6826882296</v>
      </c>
      <c r="M40" s="242">
        <f>-M11*'Assumptions-Retail'!$Q$14*(1+'Assumptions-Overall'!$C$39)^('CashFlow-Retail'!M$7-1)</f>
        <v>-871609.36316887662</v>
      </c>
      <c r="N40" s="247">
        <f>-N11*'Assumptions-Retail'!$Q$14*(1+'Assumptions-Overall'!$C$39)^('CashFlow-Retail'!N$7-1)</f>
        <v>-897757.64406394283</v>
      </c>
    </row>
    <row r="41" spans="2:14" x14ac:dyDescent="0.2">
      <c r="B41" s="4"/>
      <c r="C41" s="1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7"/>
    </row>
    <row r="42" spans="2:14" x14ac:dyDescent="0.2">
      <c r="B42" s="4" t="s">
        <v>310</v>
      </c>
      <c r="C42" s="12"/>
      <c r="D42" s="241">
        <f>SUM(D38:D40)</f>
        <v>0</v>
      </c>
      <c r="E42" s="241">
        <f t="shared" ref="E42:N42" si="9">SUM(E38:E40)</f>
        <v>0</v>
      </c>
      <c r="F42" s="241">
        <f t="shared" si="9"/>
        <v>0</v>
      </c>
      <c r="G42" s="241">
        <f t="shared" si="9"/>
        <v>0</v>
      </c>
      <c r="H42" s="241">
        <f t="shared" si="9"/>
        <v>1617956.4163285492</v>
      </c>
      <c r="I42" s="241">
        <f t="shared" si="9"/>
        <v>2538248.2298312606</v>
      </c>
      <c r="J42" s="241">
        <f t="shared" si="9"/>
        <v>2614395.6767261978</v>
      </c>
      <c r="K42" s="241">
        <f t="shared" si="9"/>
        <v>2692827.5470279846</v>
      </c>
      <c r="L42" s="241">
        <f t="shared" si="9"/>
        <v>2773612.373438824</v>
      </c>
      <c r="M42" s="241">
        <f t="shared" si="9"/>
        <v>2856820.7446419885</v>
      </c>
      <c r="N42" s="249">
        <f t="shared" si="9"/>
        <v>2942525.3669812484</v>
      </c>
    </row>
    <row r="43" spans="2:14" x14ac:dyDescent="0.2">
      <c r="B43" s="4"/>
      <c r="C43" s="1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55"/>
    </row>
    <row r="44" spans="2:14" x14ac:dyDescent="0.2">
      <c r="B44" s="4" t="s">
        <v>283</v>
      </c>
      <c r="C44" s="12"/>
      <c r="D44" s="242">
        <f>-D11*'Assumptions-Retail'!$Q$16*(1+'Assumptions-Overall'!$C$40)^('CashFlow-Retail'!D$7-1)</f>
        <v>0</v>
      </c>
      <c r="E44" s="242">
        <f>-E11*'Assumptions-Retail'!$Q$16*(1+'Assumptions-Overall'!$C$40)^('CashFlow-Retail'!E$7-1)</f>
        <v>0</v>
      </c>
      <c r="F44" s="242">
        <f>-F11*'Assumptions-Retail'!$Q$16*(1+'Assumptions-Overall'!$C$40)^('CashFlow-Retail'!F$7-1)</f>
        <v>0</v>
      </c>
      <c r="G44" s="242">
        <f>-G11*'Assumptions-Retail'!$Q$16*(1+'Assumptions-Overall'!$C$40)^('CashFlow-Retail'!G$7-1)</f>
        <v>0</v>
      </c>
      <c r="H44" s="242">
        <f>-H11*'Assumptions-Retail'!$Q$16*(1+'Assumptions-Overall'!$C$40)^('CashFlow-Retail'!H$7-1)</f>
        <v>-8353.9765913440006</v>
      </c>
      <c r="I44" s="242">
        <f>-I11*'Assumptions-Retail'!$Q$16*(1+'Assumptions-Overall'!$C$40)^('CashFlow-Retail'!I$7-1)</f>
        <v>-8604.5958890843194</v>
      </c>
      <c r="J44" s="242">
        <f>-J11*'Assumptions-Retail'!$Q$16*(1+'Assumptions-Overall'!$C$40)^('CashFlow-Retail'!J$7-1)</f>
        <v>-8862.7337657568496</v>
      </c>
      <c r="K44" s="242">
        <f>-K11*'Assumptions-Retail'!$Q$16*(1+'Assumptions-Overall'!$C$40)^('CashFlow-Retail'!K$7-1)</f>
        <v>-9128.615778729556</v>
      </c>
      <c r="L44" s="242">
        <f>-L11*'Assumptions-Retail'!$Q$16*(1+'Assumptions-Overall'!$C$40)^('CashFlow-Retail'!L$7-1)</f>
        <v>-9402.4742520914406</v>
      </c>
      <c r="M44" s="242">
        <f>-M11*'Assumptions-Retail'!$Q$16*(1+'Assumptions-Overall'!$C$40)^('CashFlow-Retail'!M$7-1)</f>
        <v>-9684.5484796541841</v>
      </c>
      <c r="N44" s="247"/>
    </row>
    <row r="45" spans="2:14" x14ac:dyDescent="0.2">
      <c r="B45" s="4"/>
      <c r="C45" s="1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7"/>
    </row>
    <row r="46" spans="2:14" x14ac:dyDescent="0.2">
      <c r="B46" s="4" t="s">
        <v>309</v>
      </c>
      <c r="C46" s="12"/>
      <c r="D46" s="241">
        <f>SUM(D42:D44)</f>
        <v>0</v>
      </c>
      <c r="E46" s="241">
        <f t="shared" ref="E46:M46" si="10">SUM(E42:E44)</f>
        <v>0</v>
      </c>
      <c r="F46" s="241">
        <f t="shared" si="10"/>
        <v>0</v>
      </c>
      <c r="G46" s="241">
        <f t="shared" si="10"/>
        <v>0</v>
      </c>
      <c r="H46" s="241">
        <f t="shared" si="10"/>
        <v>1609602.4397372052</v>
      </c>
      <c r="I46" s="241">
        <f t="shared" si="10"/>
        <v>2529643.6339421761</v>
      </c>
      <c r="J46" s="241">
        <f t="shared" si="10"/>
        <v>2605532.9429604411</v>
      </c>
      <c r="K46" s="241">
        <f t="shared" si="10"/>
        <v>2683698.9312492548</v>
      </c>
      <c r="L46" s="241">
        <f t="shared" si="10"/>
        <v>2764209.8991867327</v>
      </c>
      <c r="M46" s="241">
        <f t="shared" si="10"/>
        <v>2847136.1961623342</v>
      </c>
      <c r="N46" s="247"/>
    </row>
    <row r="47" spans="2:14" x14ac:dyDescent="0.2">
      <c r="B47" s="4"/>
      <c r="C47" s="1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7"/>
    </row>
    <row r="48" spans="2:14" x14ac:dyDescent="0.2">
      <c r="B48" s="53" t="s">
        <v>209</v>
      </c>
      <c r="C48" s="1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7"/>
    </row>
    <row r="49" spans="2:14" x14ac:dyDescent="0.2">
      <c r="B49" s="4" t="s">
        <v>311</v>
      </c>
      <c r="C49" s="12"/>
      <c r="D49" s="242">
        <f>-(AND(D$8&gt;=YEAR(PhaseIConBegin),D$8&lt;=YEAR(PhaseIConEnd)))*SUM($D12:$N12)*(SUM($N15:$N16)/$N11*'Assumptions-Overall'!$M$16+(SUM('CashFlow-Retail'!$N18:$N19)/'CashFlow-Retail'!$N$11*'Assumptions-Overall'!$M$17)*(1+'Assumptions-Overall'!$C$41)^('CashFlow-Retail'!D$7-1)/(YEAR(PhaseIConEnd)-YEAR(PhaseIConBegin)+1))</f>
        <v>0</v>
      </c>
      <c r="E49" s="242">
        <f>-(AND(E$8&gt;=YEAR(PhaseIConBegin),E$8&lt;=YEAR(PhaseIConEnd)))*SUM($D12:$N12)*(SUM($N15:$N16)/$N11*'Assumptions-Overall'!$M$16+(SUM('CashFlow-Retail'!$N18:$N19)/'CashFlow-Retail'!$N$11*'Assumptions-Overall'!$M$17)*(1+'Assumptions-Overall'!$C$41)^('CashFlow-Retail'!E$7-1)/(YEAR(PhaseIConEnd)-YEAR(PhaseIConBegin)+1))</f>
        <v>0</v>
      </c>
      <c r="F49" s="242">
        <f>-(AND(F$8&gt;=YEAR(PhaseIConBegin),F$8&lt;=YEAR(PhaseIConEnd)))*SUM($D12:$N12)*(SUM($N15:$N16)/$N11*'Assumptions-Overall'!$M$16+(SUM('CashFlow-Retail'!$N18:$N19)/'CashFlow-Retail'!$N$11*'Assumptions-Overall'!$M$17)*(1+'Assumptions-Overall'!$C$41)^('CashFlow-Retail'!F$7-1)/(YEAR(PhaseIConEnd)-YEAR(PhaseIConBegin)+1))</f>
        <v>-4527793.892</v>
      </c>
      <c r="G49" s="242">
        <f>-(AND(G$8&gt;=YEAR(PhaseIConBegin),G$8&lt;=YEAR(PhaseIConEnd)))*SUM($D12:$N12)*(SUM($N15:$N16)/$N11*'Assumptions-Overall'!$M$16+(SUM('CashFlow-Retail'!$N18:$N19)/'CashFlow-Retail'!$N$11*'Assumptions-Overall'!$M$17)*(1+'Assumptions-Overall'!$C$41)^('CashFlow-Retail'!G$7-1)/(YEAR(PhaseIConEnd)-YEAR(PhaseIConBegin)+1))</f>
        <v>-4663627.7087599998</v>
      </c>
      <c r="H49" s="242">
        <f>-(AND(H$8&gt;=YEAR(PhaseIConBegin),H$8&lt;=YEAR(PhaseIConEnd)))*SUM($D12:$N12)*(SUM($N15:$N16)/$N11*'Assumptions-Overall'!$M$16+(SUM('CashFlow-Retail'!$N18:$N19)/'CashFlow-Retail'!$N$11*'Assumptions-Overall'!$M$17)*(1+'Assumptions-Overall'!$C$41)^('CashFlow-Retail'!H$7-1)/(YEAR(PhaseIConEnd)-YEAR(PhaseIConBegin)+1))</f>
        <v>0</v>
      </c>
      <c r="I49" s="242">
        <f>-(AND(I$8&gt;=YEAR(PhaseIConBegin),I$8&lt;=YEAR(PhaseIConEnd)))*SUM($D12:$N12)*(SUM($N15:$N16)/$N11*'Assumptions-Overall'!$M$16+(SUM('CashFlow-Retail'!$N18:$N19)/'CashFlow-Retail'!$N$11*'Assumptions-Overall'!$M$17)*(1+'Assumptions-Overall'!$C$41)^('CashFlow-Retail'!I$7-1)/(YEAR(PhaseIConEnd)-YEAR(PhaseIConBegin)+1))</f>
        <v>0</v>
      </c>
      <c r="J49" s="242">
        <f>-(AND(J$8&gt;=YEAR(PhaseIConBegin),J$8&lt;=YEAR(PhaseIConEnd)))*SUM($D12:$N12)*(SUM($N15:$N16)/$N11*'Assumptions-Overall'!$M$16+(SUM('CashFlow-Retail'!$N18:$N19)/'CashFlow-Retail'!$N$11*'Assumptions-Overall'!$M$17)*(1+'Assumptions-Overall'!$C$41)^('CashFlow-Retail'!J$7-1)/(YEAR(PhaseIConEnd)-YEAR(PhaseIConBegin)+1))</f>
        <v>0</v>
      </c>
      <c r="K49" s="242">
        <f>-(AND(K$8&gt;=YEAR(PhaseIConBegin),K$8&lt;=YEAR(PhaseIConEnd)))*SUM($D12:$N12)*(SUM($N15:$N16)/$N11*'Assumptions-Overall'!$M$16+(SUM('CashFlow-Retail'!$N18:$N19)/'CashFlow-Retail'!$N$11*'Assumptions-Overall'!$M$17)*(1+'Assumptions-Overall'!$C$41)^('CashFlow-Retail'!K$7-1)/(YEAR(PhaseIConEnd)-YEAR(PhaseIConBegin)+1))</f>
        <v>0</v>
      </c>
      <c r="L49" s="242">
        <f>-(AND(L$8&gt;=YEAR(PhaseIConBegin),L$8&lt;=YEAR(PhaseIConEnd)))*SUM($D12:$N12)*(SUM($N15:$N16)/$N11*'Assumptions-Overall'!$M$16+(SUM('CashFlow-Retail'!$N18:$N19)/'CashFlow-Retail'!$N$11*'Assumptions-Overall'!$M$17)*(1+'Assumptions-Overall'!$C$41)^('CashFlow-Retail'!L$7-1)/(YEAR(PhaseIConEnd)-YEAR(PhaseIConBegin)+1))</f>
        <v>0</v>
      </c>
      <c r="M49" s="242">
        <f>-(AND(M$8&gt;=YEAR(PhaseIConBegin),M$8&lt;=YEAR(PhaseIConEnd)))*SUM($D12:$N12)*(SUM($N15:$N16)/$N11*'Assumptions-Overall'!$M$16+(SUM('CashFlow-Retail'!$N18:$N19)/'CashFlow-Retail'!$N$11*'Assumptions-Overall'!$M$17)*(1+'Assumptions-Overall'!$C$41)^('CashFlow-Retail'!M$7-1)/(YEAR(PhaseIConEnd)-YEAR(PhaseIConBegin)+1))</f>
        <v>0</v>
      </c>
      <c r="N49" s="247"/>
    </row>
    <row r="50" spans="2:14" x14ac:dyDescent="0.2">
      <c r="B50" s="4" t="s">
        <v>312</v>
      </c>
      <c r="C50" s="12"/>
      <c r="D50" s="242">
        <f>(AND(D$8&gt;=YEAR(PhaseIPreconBegin),D$8&lt;=YEAR(PhaseIConEnd)))*SUM($D49:$N49)*'Assumptions-Overall'!$H$43/(YEAR(PhaseIConEnd)-YEAR(PhaseIPreconBegin)+1)</f>
        <v>-137871.32401139999</v>
      </c>
      <c r="E50" s="242">
        <f>(AND(E$8&gt;=YEAR(PhaseIPreconBegin),E$8&lt;=YEAR(PhaseIConEnd)))*SUM($D49:$N49)*'Assumptions-Overall'!$H$43/(YEAR(PhaseIConEnd)-YEAR(PhaseIPreconBegin)+1)</f>
        <v>-137871.32401139999</v>
      </c>
      <c r="F50" s="242">
        <f>(AND(F$8&gt;=YEAR(PhaseIPreconBegin),F$8&lt;=YEAR(PhaseIConEnd)))*SUM($D49:$N49)*'Assumptions-Overall'!$H$43/(YEAR(PhaseIConEnd)-YEAR(PhaseIPreconBegin)+1)</f>
        <v>-137871.32401139999</v>
      </c>
      <c r="G50" s="242">
        <f>(AND(G$8&gt;=YEAR(PhaseIPreconBegin),G$8&lt;=YEAR(PhaseIConEnd)))*SUM($D49:$N49)*'Assumptions-Overall'!$H$43/(YEAR(PhaseIConEnd)-YEAR(PhaseIPreconBegin)+1)</f>
        <v>-137871.32401139999</v>
      </c>
      <c r="H50" s="242">
        <f>(AND(H$8&gt;=YEAR(PhaseIPreconBegin),H$8&lt;=YEAR(PhaseIConEnd)))*SUM($D49:$N49)*'Assumptions-Overall'!$H$43/(YEAR(PhaseIConEnd)-YEAR(PhaseIPreconBegin)+1)</f>
        <v>0</v>
      </c>
      <c r="I50" s="242">
        <f>(AND(I$8&gt;=YEAR(PhaseIPreconBegin),I$8&lt;=YEAR(PhaseIConEnd)))*SUM($D49:$N49)*'Assumptions-Overall'!$H$43/(YEAR(PhaseIConEnd)-YEAR(PhaseIPreconBegin)+1)</f>
        <v>0</v>
      </c>
      <c r="J50" s="242">
        <f>(AND(J$8&gt;=YEAR(PhaseIPreconBegin),J$8&lt;=YEAR(PhaseIConEnd)))*SUM($D49:$N49)*'Assumptions-Overall'!$H$43/(YEAR(PhaseIConEnd)-YEAR(PhaseIPreconBegin)+1)</f>
        <v>0</v>
      </c>
      <c r="K50" s="242">
        <f>(AND(K$8&gt;=YEAR(PhaseIPreconBegin),K$8&lt;=YEAR(PhaseIConEnd)))*SUM($D49:$N49)*'Assumptions-Overall'!$H$43/(YEAR(PhaseIConEnd)-YEAR(PhaseIPreconBegin)+1)</f>
        <v>0</v>
      </c>
      <c r="L50" s="242">
        <f>(AND(L$8&gt;=YEAR(PhaseIPreconBegin),L$8&lt;=YEAR(PhaseIConEnd)))*SUM($D49:$N49)*'Assumptions-Overall'!$H$43/(YEAR(PhaseIConEnd)-YEAR(PhaseIPreconBegin)+1)</f>
        <v>0</v>
      </c>
      <c r="M50" s="242">
        <f>(AND(M$8&gt;=YEAR(PhaseIPreconBegin),M$8&lt;=YEAR(PhaseIConEnd)))*SUM($D49:$N49)*'Assumptions-Overall'!$H$43/(YEAR(PhaseIConEnd)-YEAR(PhaseIPreconBegin)+1)</f>
        <v>0</v>
      </c>
      <c r="N50" s="247"/>
    </row>
    <row r="51" spans="2:14" x14ac:dyDescent="0.2">
      <c r="B51" s="4" t="s">
        <v>183</v>
      </c>
      <c r="C51" s="12"/>
      <c r="D51" s="242">
        <f>(AND(D$8&gt;=YEAR(PhaseIPreconBegin),D$8&lt;=YEAR(PhaseIConEnd)))*SUM($D49:$N49)*'Assumptions-Overall'!$H$44/(YEAR(PhaseIConEnd)-YEAR(PhaseIPreconBegin)+1)</f>
        <v>-344678.31002849998</v>
      </c>
      <c r="E51" s="242">
        <f>(AND(E$8&gt;=YEAR(PhaseIPreconBegin),E$8&lt;=YEAR(PhaseIConEnd)))*SUM($D49:$N49)*'Assumptions-Overall'!$H$44/(YEAR(PhaseIConEnd)-YEAR(PhaseIPreconBegin)+1)</f>
        <v>-344678.31002849998</v>
      </c>
      <c r="F51" s="242">
        <f>(AND(F$8&gt;=YEAR(PhaseIPreconBegin),F$8&lt;=YEAR(PhaseIConEnd)))*SUM($D49:$N49)*'Assumptions-Overall'!$H$44/(YEAR(PhaseIConEnd)-YEAR(PhaseIPreconBegin)+1)</f>
        <v>-344678.31002849998</v>
      </c>
      <c r="G51" s="242">
        <f>(AND(G$8&gt;=YEAR(PhaseIPreconBegin),G$8&lt;=YEAR(PhaseIConEnd)))*SUM($D49:$N49)*'Assumptions-Overall'!$H$44/(YEAR(PhaseIConEnd)-YEAR(PhaseIPreconBegin)+1)</f>
        <v>-344678.31002849998</v>
      </c>
      <c r="H51" s="242">
        <f>(AND(H$8&gt;=YEAR(PhaseIPreconBegin),H$8&lt;=YEAR(PhaseIConEnd)))*SUM($D49:$N49)*'Assumptions-Overall'!$H$44/(YEAR(PhaseIConEnd)-YEAR(PhaseIPreconBegin)+1)</f>
        <v>0</v>
      </c>
      <c r="I51" s="242">
        <f>(AND(I$8&gt;=YEAR(PhaseIPreconBegin),I$8&lt;=YEAR(PhaseIConEnd)))*SUM($D49:$N49)*'Assumptions-Overall'!$H$44/(YEAR(PhaseIConEnd)-YEAR(PhaseIPreconBegin)+1)</f>
        <v>0</v>
      </c>
      <c r="J51" s="242">
        <f>(AND(J$8&gt;=YEAR(PhaseIPreconBegin),J$8&lt;=YEAR(PhaseIConEnd)))*SUM($D49:$N49)*'Assumptions-Overall'!$H$44/(YEAR(PhaseIConEnd)-YEAR(PhaseIPreconBegin)+1)</f>
        <v>0</v>
      </c>
      <c r="K51" s="242">
        <f>(AND(K$8&gt;=YEAR(PhaseIPreconBegin),K$8&lt;=YEAR(PhaseIConEnd)))*SUM($D49:$N49)*'Assumptions-Overall'!$H$44/(YEAR(PhaseIConEnd)-YEAR(PhaseIPreconBegin)+1)</f>
        <v>0</v>
      </c>
      <c r="L51" s="242">
        <f>(AND(L$8&gt;=YEAR(PhaseIPreconBegin),L$8&lt;=YEAR(PhaseIConEnd)))*SUM($D49:$N49)*'Assumptions-Overall'!$H$44/(YEAR(PhaseIConEnd)-YEAR(PhaseIPreconBegin)+1)</f>
        <v>0</v>
      </c>
      <c r="M51" s="242">
        <f>(AND(M$8&gt;=YEAR(PhaseIPreconBegin),M$8&lt;=YEAR(PhaseIConEnd)))*SUM($D49:$N49)*'Assumptions-Overall'!$H$44/(YEAR(PhaseIConEnd)-YEAR(PhaseIPreconBegin)+1)</f>
        <v>0</v>
      </c>
      <c r="N51" s="247"/>
    </row>
    <row r="52" spans="2:14" x14ac:dyDescent="0.2">
      <c r="B52" s="4" t="s">
        <v>184</v>
      </c>
      <c r="C52" s="12"/>
      <c r="D52" s="240">
        <f>SUM(D49:D51)*'Assumptions-Overall'!$H$45</f>
        <v>-14476.489021197</v>
      </c>
      <c r="E52" s="240">
        <f>SUM(E49:E51)*'Assumptions-Overall'!$H$45</f>
        <v>-14476.489021197</v>
      </c>
      <c r="F52" s="240">
        <f>SUM(F49:F51)*'Assumptions-Overall'!$H$45</f>
        <v>-150310.30578119701</v>
      </c>
      <c r="G52" s="240">
        <f>SUM(G49:G51)*'Assumptions-Overall'!$H$45</f>
        <v>-154385.32028399699</v>
      </c>
      <c r="H52" s="240">
        <f>SUM(H49:H51)*'Assumptions-Overall'!$H$45</f>
        <v>0</v>
      </c>
      <c r="I52" s="240">
        <f>SUM(I49:I51)*'Assumptions-Overall'!$H$45</f>
        <v>0</v>
      </c>
      <c r="J52" s="240">
        <f>SUM(J49:J51)*'Assumptions-Overall'!$H$45</f>
        <v>0</v>
      </c>
      <c r="K52" s="240">
        <f>SUM(K49:K51)*'Assumptions-Overall'!$H$45</f>
        <v>0</v>
      </c>
      <c r="L52" s="240">
        <f>SUM(L49:L51)*'Assumptions-Overall'!$H$45</f>
        <v>0</v>
      </c>
      <c r="M52" s="240">
        <f>SUM(M49:M51)*'Assumptions-Overall'!$H$45</f>
        <v>0</v>
      </c>
      <c r="N52" s="247"/>
    </row>
    <row r="53" spans="2:14" x14ac:dyDescent="0.2">
      <c r="B53" s="4" t="s">
        <v>313</v>
      </c>
      <c r="C53" s="12"/>
      <c r="D53" s="242">
        <f>SUM(D49:D52)</f>
        <v>-497026.12306109699</v>
      </c>
      <c r="E53" s="242">
        <f t="shared" ref="E53:M53" si="11">SUM(E49:E52)</f>
        <v>-497026.12306109699</v>
      </c>
      <c r="F53" s="242">
        <f t="shared" si="11"/>
        <v>-5160653.8318210971</v>
      </c>
      <c r="G53" s="242">
        <f t="shared" si="11"/>
        <v>-5300562.663083897</v>
      </c>
      <c r="H53" s="242">
        <f t="shared" si="11"/>
        <v>0</v>
      </c>
      <c r="I53" s="242">
        <f t="shared" si="11"/>
        <v>0</v>
      </c>
      <c r="J53" s="242">
        <f t="shared" si="11"/>
        <v>0</v>
      </c>
      <c r="K53" s="242">
        <f t="shared" si="11"/>
        <v>0</v>
      </c>
      <c r="L53" s="242">
        <f t="shared" si="11"/>
        <v>0</v>
      </c>
      <c r="M53" s="242">
        <f t="shared" si="11"/>
        <v>0</v>
      </c>
      <c r="N53" s="247"/>
    </row>
    <row r="54" spans="2:14" x14ac:dyDescent="0.2">
      <c r="B54" s="4"/>
      <c r="C54" s="1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7"/>
    </row>
    <row r="55" spans="2:14" x14ac:dyDescent="0.2">
      <c r="B55" s="53" t="s">
        <v>314</v>
      </c>
      <c r="C55" s="1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7"/>
    </row>
    <row r="56" spans="2:14" x14ac:dyDescent="0.2">
      <c r="B56" s="4" t="s">
        <v>316</v>
      </c>
      <c r="C56" s="12"/>
      <c r="D56" s="242">
        <f>(D$8=YEAR('Assumptions-Overall'!$C$30))*E42/'Assumptions-Overall'!$Y$9</f>
        <v>0</v>
      </c>
      <c r="E56" s="242">
        <f>(E$8=YEAR('Assumptions-Overall'!$C$30))*F42/'Assumptions-Overall'!$Y$9</f>
        <v>0</v>
      </c>
      <c r="F56" s="242">
        <f>(F$8=YEAR('Assumptions-Overall'!$C$30))*G42/'Assumptions-Overall'!$Y$9</f>
        <v>0</v>
      </c>
      <c r="G56" s="242">
        <f>(G$8=YEAR('Assumptions-Overall'!$C$30))*H42/'Assumptions-Overall'!$Y$9</f>
        <v>0</v>
      </c>
      <c r="H56" s="242">
        <f>(H$8=YEAR('Assumptions-Overall'!$C$30))*I42/'Assumptions-Overall'!$Y$9</f>
        <v>0</v>
      </c>
      <c r="I56" s="242">
        <f>(I$8=YEAR('Assumptions-Overall'!$C$30))*J42/'Assumptions-Overall'!$Y$9</f>
        <v>0</v>
      </c>
      <c r="J56" s="242">
        <f>(J$8=YEAR('Assumptions-Overall'!$C$30))*K42/'Assumptions-Overall'!$Y$9</f>
        <v>0</v>
      </c>
      <c r="K56" s="242">
        <f>(K$8=YEAR('Assumptions-Overall'!$C$30))*L42/'Assumptions-Overall'!$Y$9</f>
        <v>0</v>
      </c>
      <c r="L56" s="242">
        <f>(L$8=YEAR('Assumptions-Overall'!$C$30))*M42/'Assumptions-Overall'!$Y$9</f>
        <v>0</v>
      </c>
      <c r="M56" s="242">
        <f>(M$8=YEAR('Assumptions-Overall'!$C$30))*N42/'Assumptions-Overall'!$Y$13</f>
        <v>65389452.599583291</v>
      </c>
      <c r="N56" s="247"/>
    </row>
    <row r="57" spans="2:14" x14ac:dyDescent="0.2">
      <c r="B57" s="4" t="s">
        <v>317</v>
      </c>
      <c r="C57" s="12"/>
      <c r="D57" s="240">
        <f>-D56*'Assumptions-Overall'!$U$27</f>
        <v>0</v>
      </c>
      <c r="E57" s="240">
        <f>-E56*'Assumptions-Overall'!$U$27</f>
        <v>0</v>
      </c>
      <c r="F57" s="240">
        <f>-F56*'Assumptions-Overall'!$U$27</f>
        <v>0</v>
      </c>
      <c r="G57" s="240">
        <f>-G56*'Assumptions-Overall'!$U$27</f>
        <v>0</v>
      </c>
      <c r="H57" s="240">
        <f>-H56*'Assumptions-Overall'!$U$27</f>
        <v>0</v>
      </c>
      <c r="I57" s="240">
        <f>-I56*'Assumptions-Overall'!$U$27</f>
        <v>0</v>
      </c>
      <c r="J57" s="240">
        <f>-J56*'Assumptions-Overall'!$U$27</f>
        <v>0</v>
      </c>
      <c r="K57" s="240">
        <f>-K56*'Assumptions-Overall'!$U$27</f>
        <v>0</v>
      </c>
      <c r="L57" s="240">
        <f>-L56*'Assumptions-Overall'!$U$27</f>
        <v>0</v>
      </c>
      <c r="M57" s="240">
        <f>-M56*'Assumptions-Overall'!$U$27</f>
        <v>-653894.52599583287</v>
      </c>
      <c r="N57" s="247"/>
    </row>
    <row r="58" spans="2:14" x14ac:dyDescent="0.2">
      <c r="B58" s="4" t="s">
        <v>318</v>
      </c>
      <c r="C58" s="12"/>
      <c r="D58" s="242">
        <f>SUM(D56:D57)</f>
        <v>0</v>
      </c>
      <c r="E58" s="242">
        <f t="shared" ref="E58:M58" si="12">SUM(E56:E57)</f>
        <v>0</v>
      </c>
      <c r="F58" s="242">
        <f t="shared" si="12"/>
        <v>0</v>
      </c>
      <c r="G58" s="242">
        <f t="shared" si="12"/>
        <v>0</v>
      </c>
      <c r="H58" s="242">
        <f t="shared" si="12"/>
        <v>0</v>
      </c>
      <c r="I58" s="242">
        <f t="shared" si="12"/>
        <v>0</v>
      </c>
      <c r="J58" s="242">
        <f t="shared" si="12"/>
        <v>0</v>
      </c>
      <c r="K58" s="242">
        <f t="shared" si="12"/>
        <v>0</v>
      </c>
      <c r="L58" s="242">
        <f t="shared" si="12"/>
        <v>0</v>
      </c>
      <c r="M58" s="242">
        <f t="shared" si="12"/>
        <v>64735558.073587455</v>
      </c>
      <c r="N58" s="247"/>
    </row>
    <row r="59" spans="2:14" x14ac:dyDescent="0.2">
      <c r="B59" s="4"/>
      <c r="C59" s="1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7"/>
    </row>
    <row r="60" spans="2:14" x14ac:dyDescent="0.2">
      <c r="B60" s="4" t="s">
        <v>315</v>
      </c>
      <c r="C60" s="12"/>
      <c r="D60" s="242">
        <f t="shared" ref="D60:M60" si="13">D46+D53+D58</f>
        <v>-497026.12306109699</v>
      </c>
      <c r="E60" s="242">
        <f t="shared" si="13"/>
        <v>-497026.12306109699</v>
      </c>
      <c r="F60" s="242">
        <f t="shared" si="13"/>
        <v>-5160653.8318210971</v>
      </c>
      <c r="G60" s="242">
        <f t="shared" si="13"/>
        <v>-5300562.663083897</v>
      </c>
      <c r="H60" s="242">
        <f t="shared" si="13"/>
        <v>1609602.4397372052</v>
      </c>
      <c r="I60" s="242">
        <f t="shared" si="13"/>
        <v>2529643.6339421761</v>
      </c>
      <c r="J60" s="242">
        <f t="shared" si="13"/>
        <v>2605532.9429604411</v>
      </c>
      <c r="K60" s="242">
        <f t="shared" si="13"/>
        <v>2683698.9312492548</v>
      </c>
      <c r="L60" s="242">
        <f t="shared" si="13"/>
        <v>2764209.8991867327</v>
      </c>
      <c r="M60" s="242">
        <f t="shared" si="13"/>
        <v>67582694.26974979</v>
      </c>
      <c r="N60" s="247"/>
    </row>
    <row r="61" spans="2:14" x14ac:dyDescent="0.2">
      <c r="B61" s="4" t="s">
        <v>320</v>
      </c>
      <c r="C61" s="254">
        <f>IFERROR(IRR(D60:M60),"n/a")</f>
        <v>0.37817623674555945</v>
      </c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7"/>
    </row>
    <row r="62" spans="2:14" ht="12.75" thickBot="1" x14ac:dyDescent="0.25">
      <c r="B62" s="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6"/>
    </row>
    <row r="63" spans="2:14" x14ac:dyDescent="0.2">
      <c r="B63" s="250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2"/>
    </row>
    <row r="64" spans="2:14" x14ac:dyDescent="0.2">
      <c r="B64" s="243" t="s">
        <v>297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</row>
    <row r="65" spans="2:14" x14ac:dyDescent="0.2">
      <c r="B65" s="4" t="s">
        <v>293</v>
      </c>
      <c r="C65" s="12"/>
      <c r="D65" s="244">
        <f>SUM(D69:D73)</f>
        <v>0</v>
      </c>
      <c r="E65" s="244">
        <f t="shared" ref="E65:N65" si="14">SUM(E69:E73)</f>
        <v>0</v>
      </c>
      <c r="F65" s="244">
        <f t="shared" si="14"/>
        <v>0</v>
      </c>
      <c r="G65" s="244">
        <f t="shared" si="14"/>
        <v>0</v>
      </c>
      <c r="H65" s="244">
        <f t="shared" si="14"/>
        <v>0</v>
      </c>
      <c r="I65" s="244">
        <f t="shared" si="14"/>
        <v>0</v>
      </c>
      <c r="J65" s="244">
        <f t="shared" si="14"/>
        <v>92738</v>
      </c>
      <c r="K65" s="244">
        <f t="shared" si="14"/>
        <v>92738</v>
      </c>
      <c r="L65" s="244">
        <f t="shared" si="14"/>
        <v>92738</v>
      </c>
      <c r="M65" s="244">
        <f t="shared" si="14"/>
        <v>92738</v>
      </c>
      <c r="N65" s="245">
        <f t="shared" si="14"/>
        <v>92738</v>
      </c>
    </row>
    <row r="66" spans="2:14" x14ac:dyDescent="0.2">
      <c r="B66" s="4" t="s">
        <v>294</v>
      </c>
      <c r="C66" s="12"/>
      <c r="D66" s="244">
        <f>D65-C65</f>
        <v>0</v>
      </c>
      <c r="E66" s="244">
        <f t="shared" ref="E66" si="15">E65-D65</f>
        <v>0</v>
      </c>
      <c r="F66" s="244">
        <f t="shared" ref="F66" si="16">F65-E65</f>
        <v>0</v>
      </c>
      <c r="G66" s="244">
        <f t="shared" ref="G66" si="17">G65-F65</f>
        <v>0</v>
      </c>
      <c r="H66" s="244">
        <f t="shared" ref="H66" si="18">H65-G65</f>
        <v>0</v>
      </c>
      <c r="I66" s="244">
        <f t="shared" ref="I66" si="19">I65-H65</f>
        <v>0</v>
      </c>
      <c r="J66" s="244">
        <f t="shared" ref="J66" si="20">J65-I65</f>
        <v>92738</v>
      </c>
      <c r="K66" s="244">
        <f t="shared" ref="K66" si="21">K65-J65</f>
        <v>0</v>
      </c>
      <c r="L66" s="244">
        <f t="shared" ref="L66" si="22">L65-K65</f>
        <v>0</v>
      </c>
      <c r="M66" s="244">
        <f t="shared" ref="M66" si="23">M65-L65</f>
        <v>0</v>
      </c>
      <c r="N66" s="245">
        <f t="shared" ref="N66" si="24">N65-M65</f>
        <v>0</v>
      </c>
    </row>
    <row r="67" spans="2:14" x14ac:dyDescent="0.2">
      <c r="B67" s="4"/>
      <c r="C67" s="12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5"/>
    </row>
    <row r="68" spans="2:14" x14ac:dyDescent="0.2">
      <c r="B68" s="53" t="s">
        <v>331</v>
      </c>
      <c r="C68" s="12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5"/>
    </row>
    <row r="69" spans="2:14" x14ac:dyDescent="0.2">
      <c r="B69" s="4" t="str">
        <f>B15</f>
        <v>Grocery</v>
      </c>
      <c r="C69" s="12"/>
      <c r="D69" s="244">
        <f>(D$8&gt;=YEAR(PhaseIIComplete))*'Assumptions-Retail'!$E9</f>
        <v>0</v>
      </c>
      <c r="E69" s="244">
        <f>(E$8&gt;=YEAR(PhaseIIComplete))*'Assumptions-Retail'!$E9</f>
        <v>0</v>
      </c>
      <c r="F69" s="244">
        <f>(F$8&gt;=YEAR(PhaseIIComplete))*'Assumptions-Retail'!$E9</f>
        <v>0</v>
      </c>
      <c r="G69" s="244">
        <f>(G$8&gt;=YEAR(PhaseIIComplete))*'Assumptions-Retail'!$E9</f>
        <v>0</v>
      </c>
      <c r="H69" s="244">
        <f>(H$8&gt;=YEAR(PhaseIIComplete))*'Assumptions-Retail'!$E9</f>
        <v>0</v>
      </c>
      <c r="I69" s="244">
        <f>(I$8&gt;=YEAR(PhaseIIComplete))*'Assumptions-Retail'!$E9</f>
        <v>0</v>
      </c>
      <c r="J69" s="244">
        <f>(J$8&gt;=YEAR(PhaseIIComplete))*'Assumptions-Retail'!$E9</f>
        <v>54413</v>
      </c>
      <c r="K69" s="244">
        <f>(K$8&gt;=YEAR(PhaseIIComplete))*'Assumptions-Retail'!$E9</f>
        <v>54413</v>
      </c>
      <c r="L69" s="244">
        <f>(L$8&gt;=YEAR(PhaseIIComplete))*'Assumptions-Retail'!$E9</f>
        <v>54413</v>
      </c>
      <c r="M69" s="244">
        <f>(M$8&gt;=YEAR(PhaseIIComplete))*'Assumptions-Retail'!$E9</f>
        <v>54413</v>
      </c>
      <c r="N69" s="245">
        <f>(N$8&gt;=YEAR(PhaseIIComplete))*'Assumptions-Retail'!$E9</f>
        <v>54413</v>
      </c>
    </row>
    <row r="70" spans="2:14" x14ac:dyDescent="0.2">
      <c r="B70" s="4" t="str">
        <f>B16</f>
        <v>Food Hall</v>
      </c>
      <c r="C70" s="12"/>
      <c r="D70" s="244">
        <f>(D$8&gt;=YEAR(PhaseIIComplete))*'Assumptions-Retail'!$E10</f>
        <v>0</v>
      </c>
      <c r="E70" s="244">
        <f>(E$8&gt;=YEAR(PhaseIIComplete))*'Assumptions-Retail'!$E10</f>
        <v>0</v>
      </c>
      <c r="F70" s="244">
        <f>(F$8&gt;=YEAR(PhaseIIComplete))*'Assumptions-Retail'!$E10</f>
        <v>0</v>
      </c>
      <c r="G70" s="244">
        <f>(G$8&gt;=YEAR(PhaseIIComplete))*'Assumptions-Retail'!$E10</f>
        <v>0</v>
      </c>
      <c r="H70" s="244">
        <f>(H$8&gt;=YEAR(PhaseIIComplete))*'Assumptions-Retail'!$E10</f>
        <v>0</v>
      </c>
      <c r="I70" s="244">
        <f>(I$8&gt;=YEAR(PhaseIIComplete))*'Assumptions-Retail'!$E10</f>
        <v>0</v>
      </c>
      <c r="J70" s="244">
        <f>(J$8&gt;=YEAR(PhaseIIComplete))*'Assumptions-Retail'!$E10</f>
        <v>22926</v>
      </c>
      <c r="K70" s="244">
        <f>(K$8&gt;=YEAR(PhaseIIComplete))*'Assumptions-Retail'!$E10</f>
        <v>22926</v>
      </c>
      <c r="L70" s="244">
        <f>(L$8&gt;=YEAR(PhaseIIComplete))*'Assumptions-Retail'!$E10</f>
        <v>22926</v>
      </c>
      <c r="M70" s="244">
        <f>(M$8&gt;=YEAR(PhaseIIComplete))*'Assumptions-Retail'!$E10</f>
        <v>22926</v>
      </c>
      <c r="N70" s="245">
        <f>(N$8&gt;=YEAR(PhaseIIComplete))*'Assumptions-Retail'!$E10</f>
        <v>22926</v>
      </c>
    </row>
    <row r="71" spans="2:14" x14ac:dyDescent="0.2">
      <c r="B71" s="4" t="str">
        <f>B17</f>
        <v>Fitness Center</v>
      </c>
      <c r="C71" s="12"/>
      <c r="D71" s="244">
        <f>(D$8&gt;=YEAR(PhaseIIComplete))*'Assumptions-Retail'!$E11</f>
        <v>0</v>
      </c>
      <c r="E71" s="244">
        <f>(E$8&gt;=YEAR(PhaseIIComplete))*'Assumptions-Retail'!$E11</f>
        <v>0</v>
      </c>
      <c r="F71" s="244">
        <f>(F$8&gt;=YEAR(PhaseIIComplete))*'Assumptions-Retail'!$E11</f>
        <v>0</v>
      </c>
      <c r="G71" s="244">
        <f>(G$8&gt;=YEAR(PhaseIIComplete))*'Assumptions-Retail'!$E11</f>
        <v>0</v>
      </c>
      <c r="H71" s="244">
        <f>(H$8&gt;=YEAR(PhaseIIComplete))*'Assumptions-Retail'!$E11</f>
        <v>0</v>
      </c>
      <c r="I71" s="244">
        <f>(I$8&gt;=YEAR(PhaseIIComplete))*'Assumptions-Retail'!$E11</f>
        <v>0</v>
      </c>
      <c r="J71" s="244">
        <f>(J$8&gt;=YEAR(PhaseIIComplete))*'Assumptions-Retail'!$E11</f>
        <v>0</v>
      </c>
      <c r="K71" s="244">
        <f>(K$8&gt;=YEAR(PhaseIIComplete))*'Assumptions-Retail'!$E11</f>
        <v>0</v>
      </c>
      <c r="L71" s="244">
        <f>(L$8&gt;=YEAR(PhaseIIComplete))*'Assumptions-Retail'!$E11</f>
        <v>0</v>
      </c>
      <c r="M71" s="244">
        <f>(M$8&gt;=YEAR(PhaseIIComplete))*'Assumptions-Retail'!$E11</f>
        <v>0</v>
      </c>
      <c r="N71" s="245">
        <f>(N$8&gt;=YEAR(PhaseIIComplete))*'Assumptions-Retail'!$E11</f>
        <v>0</v>
      </c>
    </row>
    <row r="72" spans="2:14" x14ac:dyDescent="0.2">
      <c r="B72" s="4" t="str">
        <f>B18</f>
        <v>Market Rate Non-Anchor Space</v>
      </c>
      <c r="C72" s="12"/>
      <c r="D72" s="244">
        <f>(D$8&gt;=YEAR(PhaseIIComplete))*'Assumptions-Retail'!$E12</f>
        <v>0</v>
      </c>
      <c r="E72" s="244">
        <f>(E$8&gt;=YEAR(PhaseIIComplete))*'Assumptions-Retail'!$E12</f>
        <v>0</v>
      </c>
      <c r="F72" s="244">
        <f>(F$8&gt;=YEAR(PhaseIIComplete))*'Assumptions-Retail'!$E12</f>
        <v>0</v>
      </c>
      <c r="G72" s="244">
        <f>(G$8&gt;=YEAR(PhaseIIComplete))*'Assumptions-Retail'!$E12</f>
        <v>0</v>
      </c>
      <c r="H72" s="244">
        <f>(H$8&gt;=YEAR(PhaseIIComplete))*'Assumptions-Retail'!$E12</f>
        <v>0</v>
      </c>
      <c r="I72" s="244">
        <f>(I$8&gt;=YEAR(PhaseIIComplete))*'Assumptions-Retail'!$E12</f>
        <v>0</v>
      </c>
      <c r="J72" s="244">
        <f>(J$8&gt;=YEAR(PhaseIIComplete))*'Assumptions-Retail'!$E12</f>
        <v>13089.15</v>
      </c>
      <c r="K72" s="244">
        <f>(K$8&gt;=YEAR(PhaseIIComplete))*'Assumptions-Retail'!$E12</f>
        <v>13089.15</v>
      </c>
      <c r="L72" s="244">
        <f>(L$8&gt;=YEAR(PhaseIIComplete))*'Assumptions-Retail'!$E12</f>
        <v>13089.15</v>
      </c>
      <c r="M72" s="244">
        <f>(M$8&gt;=YEAR(PhaseIIComplete))*'Assumptions-Retail'!$E12</f>
        <v>13089.15</v>
      </c>
      <c r="N72" s="245">
        <f>(N$8&gt;=YEAR(PhaseIIComplete))*'Assumptions-Retail'!$E12</f>
        <v>13089.15</v>
      </c>
    </row>
    <row r="73" spans="2:14" x14ac:dyDescent="0.2">
      <c r="B73" s="4" t="str">
        <f>B19</f>
        <v>Affordable Non-Anchor Space</v>
      </c>
      <c r="C73" s="12"/>
      <c r="D73" s="244">
        <f>(D$8&gt;=YEAR(PhaseIIComplete))*'Assumptions-Retail'!$E13</f>
        <v>0</v>
      </c>
      <c r="E73" s="244">
        <f>(E$8&gt;=YEAR(PhaseIIComplete))*'Assumptions-Retail'!$E13</f>
        <v>0</v>
      </c>
      <c r="F73" s="244">
        <f>(F$8&gt;=YEAR(PhaseIIComplete))*'Assumptions-Retail'!$E13</f>
        <v>0</v>
      </c>
      <c r="G73" s="244">
        <f>(G$8&gt;=YEAR(PhaseIIComplete))*'Assumptions-Retail'!$E13</f>
        <v>0</v>
      </c>
      <c r="H73" s="244">
        <f>(H$8&gt;=YEAR(PhaseIIComplete))*'Assumptions-Retail'!$E13</f>
        <v>0</v>
      </c>
      <c r="I73" s="244">
        <f>(I$8&gt;=YEAR(PhaseIIComplete))*'Assumptions-Retail'!$E13</f>
        <v>0</v>
      </c>
      <c r="J73" s="244">
        <f>(J$8&gt;=YEAR(PhaseIIComplete))*'Assumptions-Retail'!$E13</f>
        <v>2309.85</v>
      </c>
      <c r="K73" s="244">
        <f>(K$8&gt;=YEAR(PhaseIIComplete))*'Assumptions-Retail'!$E13</f>
        <v>2309.85</v>
      </c>
      <c r="L73" s="244">
        <f>(L$8&gt;=YEAR(PhaseIIComplete))*'Assumptions-Retail'!$E13</f>
        <v>2309.85</v>
      </c>
      <c r="M73" s="244">
        <f>(M$8&gt;=YEAR(PhaseIIComplete))*'Assumptions-Retail'!$E13</f>
        <v>2309.85</v>
      </c>
      <c r="N73" s="245">
        <f>(N$8&gt;=YEAR(PhaseIIComplete))*'Assumptions-Retail'!$E13</f>
        <v>2309.85</v>
      </c>
    </row>
    <row r="74" spans="2:14" x14ac:dyDescent="0.2">
      <c r="B74" s="4"/>
      <c r="C74" s="12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5"/>
    </row>
    <row r="75" spans="2:14" x14ac:dyDescent="0.2">
      <c r="B75" s="53" t="s">
        <v>307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</row>
    <row r="76" spans="2:14" x14ac:dyDescent="0.2">
      <c r="B76" s="4" t="s">
        <v>336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</row>
    <row r="77" spans="2:14" x14ac:dyDescent="0.2">
      <c r="B77" s="246" t="s">
        <v>478</v>
      </c>
      <c r="C77" s="12"/>
      <c r="D77" s="242">
        <f>SUMPRODUCT(D69:D71,'Assumptions-Retail'!$L$9:$L$11)*(1+'Assumptions-Overall'!$C$35)^('CashFlow-Retail'!D$7-1)</f>
        <v>0</v>
      </c>
      <c r="E77" s="242">
        <f>SUMPRODUCT(E69:E71,'Assumptions-Retail'!$L$9:$L$11)*(1+'Assumptions-Overall'!$C$35)^('CashFlow-Retail'!E$7-1)</f>
        <v>0</v>
      </c>
      <c r="F77" s="242">
        <f>SUMPRODUCT(F69:F71,'Assumptions-Retail'!$L$9:$L$11)*(1+'Assumptions-Overall'!$C$35)^('CashFlow-Retail'!F$7-1)</f>
        <v>0</v>
      </c>
      <c r="G77" s="242">
        <f>SUMPRODUCT(G69:G71,'Assumptions-Retail'!$L$9:$L$11)*(1+'Assumptions-Overall'!$C$35)^('CashFlow-Retail'!G$7-1)</f>
        <v>0</v>
      </c>
      <c r="H77" s="242">
        <f>SUMPRODUCT(H69:H71,'Assumptions-Retail'!$L$9:$L$11)*(1+'Assumptions-Overall'!$C$35)^('CashFlow-Retail'!H$7-1)</f>
        <v>0</v>
      </c>
      <c r="I77" s="242">
        <f>SUMPRODUCT(I69:I71,'Assumptions-Retail'!$L$9:$L$11)*(1+'Assumptions-Overall'!$C$35)^('CashFlow-Retail'!I$7-1)</f>
        <v>0</v>
      </c>
      <c r="J77" s="242">
        <f>SUMPRODUCT(J69:J71,'Assumptions-Retail'!$L$9:$L$11)*(1+'Assumptions-Overall'!$C$35)^('CashFlow-Retail'!J$7-1)</f>
        <v>3047444.7485214588</v>
      </c>
      <c r="K77" s="242">
        <f>SUMPRODUCT(K69:K71,'Assumptions-Retail'!$L$9:$L$11)*(1+'Assumptions-Overall'!$C$35)^('CashFlow-Retail'!K$7-1)</f>
        <v>3138868.0909771025</v>
      </c>
      <c r="L77" s="242">
        <f>SUMPRODUCT(L69:L71,'Assumptions-Retail'!$L$9:$L$11)*(1+'Assumptions-Overall'!$C$35)^('CashFlow-Retail'!L$7-1)</f>
        <v>3233034.1337064155</v>
      </c>
      <c r="M77" s="242">
        <f>SUMPRODUCT(M69:M71,'Assumptions-Retail'!$L$9:$L$11)*(1+'Assumptions-Overall'!$C$35)^('CashFlow-Retail'!M$7-1)</f>
        <v>3330025.1577176079</v>
      </c>
      <c r="N77" s="247">
        <f>SUMPRODUCT(N69:N71,'Assumptions-Retail'!$L$9:$L$11)*(1+'Assumptions-Overall'!$C$35)^('CashFlow-Retail'!N$7-1)</f>
        <v>3429925.9124491359</v>
      </c>
    </row>
    <row r="78" spans="2:14" x14ac:dyDescent="0.2">
      <c r="B78" s="246" t="s">
        <v>333</v>
      </c>
      <c r="C78" s="12"/>
      <c r="D78" s="240">
        <f>SUMPRODUCT(D72:D73,'Assumptions-Retail'!$L$12:$L$13)*(1+'Assumptions-Overall'!$C$35)^('CashFlow-Retail'!D$7-1)</f>
        <v>0</v>
      </c>
      <c r="E78" s="240">
        <f>SUMPRODUCT(E72:E73,'Assumptions-Retail'!$L$12:$L$13)*(1+'Assumptions-Overall'!$C$35)^('CashFlow-Retail'!E$7-1)</f>
        <v>0</v>
      </c>
      <c r="F78" s="240">
        <f>SUMPRODUCT(F72:F73,'Assumptions-Retail'!$L$12:$L$13)*(1+'Assumptions-Overall'!$C$35)^('CashFlow-Retail'!F$7-1)</f>
        <v>0</v>
      </c>
      <c r="G78" s="240">
        <f>SUMPRODUCT(G72:G73,'Assumptions-Retail'!$L$12:$L$13)*(1+'Assumptions-Overall'!$C$35)^('CashFlow-Retail'!G$7-1)</f>
        <v>0</v>
      </c>
      <c r="H78" s="240">
        <f>SUMPRODUCT(H72:H73,'Assumptions-Retail'!$L$12:$L$13)*(1+'Assumptions-Overall'!$C$35)^('CashFlow-Retail'!H$7-1)</f>
        <v>0</v>
      </c>
      <c r="I78" s="240">
        <f>SUMPRODUCT(I72:I73,'Assumptions-Retail'!$L$12:$L$13)*(1+'Assumptions-Overall'!$C$35)^('CashFlow-Retail'!I$7-1)</f>
        <v>0</v>
      </c>
      <c r="J78" s="240">
        <f>SUMPRODUCT(J72:J73,'Assumptions-Retail'!$L$12:$L$13)*(1+'Assumptions-Overall'!$C$35)^('CashFlow-Retail'!J$7-1)</f>
        <v>1159313.6733634667</v>
      </c>
      <c r="K78" s="240">
        <f>SUMPRODUCT(K72:K73,'Assumptions-Retail'!$L$12:$L$13)*(1+'Assumptions-Overall'!$C$35)^('CashFlow-Retail'!K$7-1)</f>
        <v>1194093.0835643709</v>
      </c>
      <c r="L78" s="240">
        <f>SUMPRODUCT(L72:L73,'Assumptions-Retail'!$L$12:$L$13)*(1+'Assumptions-Overall'!$C$35)^('CashFlow-Retail'!L$7-1)</f>
        <v>1229915.876071302</v>
      </c>
      <c r="M78" s="240">
        <f>SUMPRODUCT(M72:M73,'Assumptions-Retail'!$L$12:$L$13)*(1+'Assumptions-Overall'!$C$35)^('CashFlow-Retail'!M$7-1)</f>
        <v>1266813.3523534411</v>
      </c>
      <c r="N78" s="248">
        <f>SUMPRODUCT(N72:N73,'Assumptions-Retail'!$L$12:$L$13)*(1+'Assumptions-Overall'!$C$35)^('CashFlow-Retail'!N$7-1)</f>
        <v>1304817.7529240442</v>
      </c>
    </row>
    <row r="79" spans="2:14" x14ac:dyDescent="0.2">
      <c r="B79" s="4" t="s">
        <v>337</v>
      </c>
      <c r="C79" s="12"/>
      <c r="D79" s="242">
        <f t="shared" ref="D79:N79" si="25">SUM(D77:D78)</f>
        <v>0</v>
      </c>
      <c r="E79" s="242">
        <f t="shared" si="25"/>
        <v>0</v>
      </c>
      <c r="F79" s="242">
        <f t="shared" si="25"/>
        <v>0</v>
      </c>
      <c r="G79" s="242">
        <f t="shared" si="25"/>
        <v>0</v>
      </c>
      <c r="H79" s="242">
        <f t="shared" si="25"/>
        <v>0</v>
      </c>
      <c r="I79" s="242">
        <f t="shared" si="25"/>
        <v>0</v>
      </c>
      <c r="J79" s="242">
        <f t="shared" si="25"/>
        <v>4206758.421884926</v>
      </c>
      <c r="K79" s="242">
        <f t="shared" si="25"/>
        <v>4332961.1745414734</v>
      </c>
      <c r="L79" s="242">
        <f t="shared" si="25"/>
        <v>4462950.0097777173</v>
      </c>
      <c r="M79" s="242">
        <f t="shared" si="25"/>
        <v>4596838.5100710485</v>
      </c>
      <c r="N79" s="247">
        <f t="shared" si="25"/>
        <v>4734743.6653731801</v>
      </c>
    </row>
    <row r="80" spans="2:14" x14ac:dyDescent="0.2">
      <c r="B80" s="4"/>
      <c r="C80" s="1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7"/>
    </row>
    <row r="81" spans="2:14" x14ac:dyDescent="0.2">
      <c r="B81" s="4" t="s">
        <v>338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</row>
    <row r="82" spans="2:14" x14ac:dyDescent="0.2">
      <c r="B82" s="246" t="str">
        <f>B77</f>
        <v>Grocery/Food Hall/Fitness Anchors</v>
      </c>
      <c r="C82" s="12"/>
      <c r="D82" s="242">
        <f>IFERROR(-SUM(D69:D71)/D65*D94,0)</f>
        <v>0</v>
      </c>
      <c r="E82" s="242">
        <f t="shared" ref="E82:N82" si="26">IFERROR(-SUM(E69:E71)/E65*E94,0)</f>
        <v>0</v>
      </c>
      <c r="F82" s="242">
        <f t="shared" si="26"/>
        <v>0</v>
      </c>
      <c r="G82" s="242">
        <f t="shared" si="26"/>
        <v>0</v>
      </c>
      <c r="H82" s="242">
        <f t="shared" si="26"/>
        <v>0</v>
      </c>
      <c r="I82" s="242">
        <f t="shared" si="26"/>
        <v>0</v>
      </c>
      <c r="J82" s="242">
        <f t="shared" si="26"/>
        <v>1662242.5901026137</v>
      </c>
      <c r="K82" s="242">
        <f t="shared" si="26"/>
        <v>1712109.8678056924</v>
      </c>
      <c r="L82" s="242">
        <f t="shared" si="26"/>
        <v>1763473.1638398629</v>
      </c>
      <c r="M82" s="242">
        <f t="shared" si="26"/>
        <v>1816377.3587550586</v>
      </c>
      <c r="N82" s="247">
        <f t="shared" si="26"/>
        <v>1870868.6795177106</v>
      </c>
    </row>
    <row r="83" spans="2:14" x14ac:dyDescent="0.2">
      <c r="B83" s="246" t="s">
        <v>333</v>
      </c>
      <c r="C83" s="12"/>
      <c r="D83" s="240">
        <f>-D94-D82</f>
        <v>0</v>
      </c>
      <c r="E83" s="240">
        <f t="shared" ref="E83" si="27">-E94-E82</f>
        <v>0</v>
      </c>
      <c r="F83" s="240">
        <f t="shared" ref="F83" si="28">-F94-F82</f>
        <v>0</v>
      </c>
      <c r="G83" s="240">
        <f t="shared" ref="G83" si="29">-G94-G82</f>
        <v>0</v>
      </c>
      <c r="H83" s="240">
        <f t="shared" ref="H83" si="30">-H94-H82</f>
        <v>0</v>
      </c>
      <c r="I83" s="240">
        <f t="shared" ref="I83" si="31">-I94-I82</f>
        <v>0</v>
      </c>
      <c r="J83" s="240">
        <f t="shared" ref="J83" si="32">-J94-J82</f>
        <v>330969.80365650146</v>
      </c>
      <c r="K83" s="240">
        <f t="shared" ref="K83" si="33">-K94-K82</f>
        <v>340898.8977661964</v>
      </c>
      <c r="L83" s="240">
        <f t="shared" ref="L83" si="34">-L94-L82</f>
        <v>351125.86469918233</v>
      </c>
      <c r="M83" s="240">
        <f t="shared" ref="M83" si="35">-M94-M82</f>
        <v>361659.64064015774</v>
      </c>
      <c r="N83" s="248">
        <f t="shared" ref="N83" si="36">-N94-N82</f>
        <v>372509.42985936254</v>
      </c>
    </row>
    <row r="84" spans="2:14" x14ac:dyDescent="0.2">
      <c r="B84" s="4" t="s">
        <v>339</v>
      </c>
      <c r="C84" s="12"/>
      <c r="D84" s="242">
        <f t="shared" ref="D84:N84" si="37">SUM(D82:D83)</f>
        <v>0</v>
      </c>
      <c r="E84" s="242">
        <f t="shared" si="37"/>
        <v>0</v>
      </c>
      <c r="F84" s="242">
        <f t="shared" si="37"/>
        <v>0</v>
      </c>
      <c r="G84" s="242">
        <f t="shared" si="37"/>
        <v>0</v>
      </c>
      <c r="H84" s="242">
        <f t="shared" si="37"/>
        <v>0</v>
      </c>
      <c r="I84" s="242">
        <f t="shared" si="37"/>
        <v>0</v>
      </c>
      <c r="J84" s="242">
        <f t="shared" si="37"/>
        <v>1993212.3937591151</v>
      </c>
      <c r="K84" s="242">
        <f t="shared" si="37"/>
        <v>2053008.7655718888</v>
      </c>
      <c r="L84" s="242">
        <f t="shared" si="37"/>
        <v>2114599.0285390452</v>
      </c>
      <c r="M84" s="242">
        <f t="shared" si="37"/>
        <v>2178036.9993952163</v>
      </c>
      <c r="N84" s="247">
        <f t="shared" si="37"/>
        <v>2243378.1093770731</v>
      </c>
    </row>
    <row r="85" spans="2:14" x14ac:dyDescent="0.2">
      <c r="B85" s="4"/>
      <c r="C85" s="1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7"/>
    </row>
    <row r="86" spans="2:14" x14ac:dyDescent="0.2">
      <c r="B86" s="4" t="s">
        <v>301</v>
      </c>
      <c r="C86" s="1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7"/>
    </row>
    <row r="87" spans="2:14" x14ac:dyDescent="0.2">
      <c r="B87" s="246" t="s">
        <v>334</v>
      </c>
      <c r="C87" s="12"/>
      <c r="D87" s="242">
        <f>-(D77+D82)*'Assumptions-Retail'!$Q$8</f>
        <v>0</v>
      </c>
      <c r="E87" s="242">
        <f>-(E77+E82)*'Assumptions-Retail'!$Q$8</f>
        <v>0</v>
      </c>
      <c r="F87" s="242">
        <f>-(F77+F82)*'Assumptions-Retail'!$Q$8</f>
        <v>0</v>
      </c>
      <c r="G87" s="242">
        <f>-(G77+G82)*'Assumptions-Retail'!$Q$8</f>
        <v>0</v>
      </c>
      <c r="H87" s="242">
        <f>-(H77+H82)*'Assumptions-Retail'!$Q$8</f>
        <v>0</v>
      </c>
      <c r="I87" s="242">
        <f>-(I77+I82)*'Assumptions-Retail'!$Q$8</f>
        <v>0</v>
      </c>
      <c r="J87" s="242">
        <f>-(J77+J82)*'Assumptions-Retail'!$Q$8</f>
        <v>0</v>
      </c>
      <c r="K87" s="242">
        <f>-(K77+K82)*'Assumptions-Retail'!$Q$8</f>
        <v>0</v>
      </c>
      <c r="L87" s="242">
        <f>-(L77+L82)*'Assumptions-Retail'!$Q$8</f>
        <v>0</v>
      </c>
      <c r="M87" s="242">
        <f>-(M77+M82)*'Assumptions-Retail'!$Q$8</f>
        <v>0</v>
      </c>
      <c r="N87" s="247">
        <f>-(N77+N82)*'Assumptions-Retail'!$Q$8</f>
        <v>0</v>
      </c>
    </row>
    <row r="88" spans="2:14" x14ac:dyDescent="0.2">
      <c r="B88" s="246" t="s">
        <v>335</v>
      </c>
      <c r="C88" s="12"/>
      <c r="D88" s="242">
        <f>-(D78+D83)*'Assumptions-Retail'!$Q$9</f>
        <v>0</v>
      </c>
      <c r="E88" s="242">
        <f>-(E78+E83)*'Assumptions-Retail'!$Q$9</f>
        <v>0</v>
      </c>
      <c r="F88" s="242">
        <f>-(F78+F83)*'Assumptions-Retail'!$Q$9</f>
        <v>0</v>
      </c>
      <c r="G88" s="242">
        <f>-(G78+G83)*'Assumptions-Retail'!$Q$9</f>
        <v>0</v>
      </c>
      <c r="H88" s="242">
        <f>-(H78+H83)*'Assumptions-Retail'!$Q$9</f>
        <v>0</v>
      </c>
      <c r="I88" s="242">
        <f>-(I78+I83)*'Assumptions-Retail'!$Q$9</f>
        <v>0</v>
      </c>
      <c r="J88" s="242">
        <f>-(J78+J83)*'Assumptions-Retail'!$Q$9</f>
        <v>-74514.173850998413</v>
      </c>
      <c r="K88" s="242">
        <f>-(K78+K83)*'Assumptions-Retail'!$Q$9</f>
        <v>-76749.599066528361</v>
      </c>
      <c r="L88" s="242">
        <f>-(L78+L83)*'Assumptions-Retail'!$Q$9</f>
        <v>-79052.087038524216</v>
      </c>
      <c r="M88" s="242">
        <f>-(M78+M83)*'Assumptions-Retail'!$Q$9</f>
        <v>-81423.649649679952</v>
      </c>
      <c r="N88" s="247">
        <f>-(N78+N83)*'Assumptions-Retail'!$Q$9</f>
        <v>-83866.359139170338</v>
      </c>
    </row>
    <row r="89" spans="2:14" x14ac:dyDescent="0.2">
      <c r="B89" s="246" t="s">
        <v>304</v>
      </c>
      <c r="C89" s="12"/>
      <c r="D89" s="240">
        <f>-(C78=0)*((D78+D83)*'Assumptions-Retail'!$Q$10+SUM('CashFlow-Retail'!D88))</f>
        <v>0</v>
      </c>
      <c r="E89" s="240">
        <f>-(D78=0)*((E78+E83)*'Assumptions-Retail'!$Q$10+SUM('CashFlow-Retail'!E88))</f>
        <v>0</v>
      </c>
      <c r="F89" s="240">
        <f>-(E78=0)*((F78+F83)*'Assumptions-Retail'!$Q$10+SUM('CashFlow-Retail'!F88))</f>
        <v>0</v>
      </c>
      <c r="G89" s="240">
        <f>-(F78=0)*((G78+G83)*'Assumptions-Retail'!$Q$10+SUM('CashFlow-Retail'!G88))</f>
        <v>0</v>
      </c>
      <c r="H89" s="240">
        <f>-(G78=0)*((H78+H83)*'Assumptions-Retail'!$Q$10+SUM('CashFlow-Retail'!H88))</f>
        <v>0</v>
      </c>
      <c r="I89" s="240">
        <f>-(H78=0)*((I78+I83)*'Assumptions-Retail'!$Q$10+SUM('CashFlow-Retail'!I88))</f>
        <v>0</v>
      </c>
      <c r="J89" s="240">
        <f>-(I78=0)*((J78+J83)*'Assumptions-Retail'!$Q$10+SUM('CashFlow-Retail'!J88))</f>
        <v>-372570.86925499205</v>
      </c>
      <c r="K89" s="240">
        <f>-(J78=0)*((K78+K83)*'Assumptions-Retail'!$Q$10+SUM('CashFlow-Retail'!K88))</f>
        <v>0</v>
      </c>
      <c r="L89" s="240">
        <f>-(K78=0)*((L78+L83)*'Assumptions-Retail'!$Q$10+SUM('CashFlow-Retail'!L88))</f>
        <v>0</v>
      </c>
      <c r="M89" s="240">
        <f>-(L78=0)*((M78+M83)*'Assumptions-Retail'!$Q$10+SUM('CashFlow-Retail'!M88))</f>
        <v>0</v>
      </c>
      <c r="N89" s="248">
        <f>-(M78=0)*((N78+N83)*'Assumptions-Retail'!$Q$10+SUM('CashFlow-Retail'!N88))</f>
        <v>0</v>
      </c>
    </row>
    <row r="90" spans="2:14" x14ac:dyDescent="0.2">
      <c r="B90" s="4" t="s">
        <v>305</v>
      </c>
      <c r="C90" s="12"/>
      <c r="D90" s="242">
        <f t="shared" ref="D90:N90" si="38">SUM(D87:D89)</f>
        <v>0</v>
      </c>
      <c r="E90" s="242">
        <f t="shared" si="38"/>
        <v>0</v>
      </c>
      <c r="F90" s="242">
        <f t="shared" si="38"/>
        <v>0</v>
      </c>
      <c r="G90" s="242">
        <f t="shared" si="38"/>
        <v>0</v>
      </c>
      <c r="H90" s="242">
        <f t="shared" si="38"/>
        <v>0</v>
      </c>
      <c r="I90" s="242">
        <f t="shared" si="38"/>
        <v>0</v>
      </c>
      <c r="J90" s="242">
        <f t="shared" si="38"/>
        <v>-447085.04310599045</v>
      </c>
      <c r="K90" s="242">
        <f t="shared" si="38"/>
        <v>-76749.599066528361</v>
      </c>
      <c r="L90" s="242">
        <f t="shared" si="38"/>
        <v>-79052.087038524216</v>
      </c>
      <c r="M90" s="242">
        <f t="shared" si="38"/>
        <v>-81423.649649679952</v>
      </c>
      <c r="N90" s="247">
        <f t="shared" si="38"/>
        <v>-83866.359139170338</v>
      </c>
    </row>
    <row r="91" spans="2:14" x14ac:dyDescent="0.2">
      <c r="B91" s="4"/>
      <c r="C91" s="12"/>
      <c r="D91" s="242"/>
      <c r="E91" s="242"/>
      <c r="F91" s="242"/>
      <c r="G91" s="242"/>
      <c r="H91" s="211"/>
      <c r="I91" s="242"/>
      <c r="J91" s="242"/>
      <c r="K91" s="242"/>
      <c r="L91" s="242"/>
      <c r="M91" s="242"/>
      <c r="N91" s="247"/>
    </row>
    <row r="92" spans="2:14" x14ac:dyDescent="0.2">
      <c r="B92" s="4" t="s">
        <v>306</v>
      </c>
      <c r="C92" s="12"/>
      <c r="D92" s="241">
        <f>D79+D84+D90</f>
        <v>0</v>
      </c>
      <c r="E92" s="241">
        <f t="shared" ref="E92:N92" si="39">E79+E84+E90</f>
        <v>0</v>
      </c>
      <c r="F92" s="241">
        <f t="shared" si="39"/>
        <v>0</v>
      </c>
      <c r="G92" s="241">
        <f t="shared" si="39"/>
        <v>0</v>
      </c>
      <c r="H92" s="241">
        <f t="shared" si="39"/>
        <v>0</v>
      </c>
      <c r="I92" s="241">
        <f t="shared" si="39"/>
        <v>0</v>
      </c>
      <c r="J92" s="241">
        <f t="shared" si="39"/>
        <v>5752885.7725380501</v>
      </c>
      <c r="K92" s="241">
        <f t="shared" si="39"/>
        <v>6309220.3410468334</v>
      </c>
      <c r="L92" s="241">
        <f t="shared" si="39"/>
        <v>6498496.9512782376</v>
      </c>
      <c r="M92" s="241">
        <f t="shared" si="39"/>
        <v>6693451.8598165847</v>
      </c>
      <c r="N92" s="249">
        <f t="shared" si="39"/>
        <v>6894255.4156110827</v>
      </c>
    </row>
    <row r="93" spans="2:14" x14ac:dyDescent="0.2">
      <c r="B93" s="4"/>
      <c r="C93" s="1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7"/>
    </row>
    <row r="94" spans="2:14" x14ac:dyDescent="0.2">
      <c r="B94" s="4" t="s">
        <v>308</v>
      </c>
      <c r="C94" s="12"/>
      <c r="D94" s="242">
        <f>-D65*'Assumptions-Retail'!$Q$14*(1+'Assumptions-Overall'!$C$39)^('CashFlow-Retail'!D$7-1)</f>
        <v>0</v>
      </c>
      <c r="E94" s="242">
        <f>-E65*'Assumptions-Retail'!$Q$14*(1+'Assumptions-Overall'!$C$39)^('CashFlow-Retail'!E$7-1)</f>
        <v>0</v>
      </c>
      <c r="F94" s="242">
        <f>-F65*'Assumptions-Retail'!$Q$14*(1+'Assumptions-Overall'!$C$39)^('CashFlow-Retail'!F$7-1)</f>
        <v>0</v>
      </c>
      <c r="G94" s="242">
        <f>-G65*'Assumptions-Retail'!$Q$14*(1+'Assumptions-Overall'!$C$39)^('CashFlow-Retail'!G$7-1)</f>
        <v>0</v>
      </c>
      <c r="H94" s="242">
        <f>-H65*'Assumptions-Retail'!$Q$14*(1+'Assumptions-Overall'!$C$39)^('CashFlow-Retail'!H$7-1)</f>
        <v>0</v>
      </c>
      <c r="I94" s="242">
        <f>-I65*'Assumptions-Retail'!$Q$14*(1+'Assumptions-Overall'!$C$39)^('CashFlow-Retail'!I$7-1)</f>
        <v>0</v>
      </c>
      <c r="J94" s="242">
        <f>-J65*'Assumptions-Retail'!$Q$14*(1+'Assumptions-Overall'!$C$39)^('CashFlow-Retail'!J$7-1)</f>
        <v>-1993212.3937591151</v>
      </c>
      <c r="K94" s="242">
        <f>-K65*'Assumptions-Retail'!$Q$14*(1+'Assumptions-Overall'!$C$39)^('CashFlow-Retail'!K$7-1)</f>
        <v>-2053008.7655718888</v>
      </c>
      <c r="L94" s="242">
        <f>-L65*'Assumptions-Retail'!$Q$14*(1+'Assumptions-Overall'!$C$39)^('CashFlow-Retail'!L$7-1)</f>
        <v>-2114599.0285390452</v>
      </c>
      <c r="M94" s="242">
        <f>-M65*'Assumptions-Retail'!$Q$14*(1+'Assumptions-Overall'!$C$39)^('CashFlow-Retail'!M$7-1)</f>
        <v>-2178036.9993952163</v>
      </c>
      <c r="N94" s="247">
        <f>-N65*'Assumptions-Retail'!$Q$14*(1+'Assumptions-Overall'!$C$39)^('CashFlow-Retail'!N$7-1)</f>
        <v>-2243378.1093770731</v>
      </c>
    </row>
    <row r="95" spans="2:14" x14ac:dyDescent="0.2">
      <c r="B95" s="4"/>
      <c r="C95" s="1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7"/>
    </row>
    <row r="96" spans="2:14" x14ac:dyDescent="0.2">
      <c r="B96" s="4" t="s">
        <v>310</v>
      </c>
      <c r="C96" s="12"/>
      <c r="D96" s="241">
        <f>SUM(D92:D94)</f>
        <v>0</v>
      </c>
      <c r="E96" s="241">
        <f t="shared" ref="E96:N96" si="40">SUM(E92:E94)</f>
        <v>0</v>
      </c>
      <c r="F96" s="241">
        <f t="shared" si="40"/>
        <v>0</v>
      </c>
      <c r="G96" s="241">
        <f t="shared" si="40"/>
        <v>0</v>
      </c>
      <c r="H96" s="241">
        <f t="shared" si="40"/>
        <v>0</v>
      </c>
      <c r="I96" s="241">
        <f t="shared" si="40"/>
        <v>0</v>
      </c>
      <c r="J96" s="241">
        <f t="shared" si="40"/>
        <v>3759673.3787789349</v>
      </c>
      <c r="K96" s="241">
        <f t="shared" si="40"/>
        <v>4256211.5754749449</v>
      </c>
      <c r="L96" s="241">
        <f t="shared" si="40"/>
        <v>4383897.9227391928</v>
      </c>
      <c r="M96" s="241">
        <f t="shared" si="40"/>
        <v>4515414.8604213689</v>
      </c>
      <c r="N96" s="249">
        <f t="shared" si="40"/>
        <v>4650877.3062340096</v>
      </c>
    </row>
    <row r="97" spans="2:14" x14ac:dyDescent="0.2">
      <c r="B97" s="4"/>
      <c r="C97" s="1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55"/>
    </row>
    <row r="98" spans="2:14" x14ac:dyDescent="0.2">
      <c r="B98" s="4" t="s">
        <v>283</v>
      </c>
      <c r="C98" s="12"/>
      <c r="D98" s="242">
        <f>-D65*'Assumptions-Retail'!$Q$16*(1+'Assumptions-Overall'!$C$40)^('CashFlow-Retail'!D$7-1)</f>
        <v>0</v>
      </c>
      <c r="E98" s="242">
        <f>-E65*'Assumptions-Retail'!$Q$16*(1+'Assumptions-Overall'!$C$40)^('CashFlow-Retail'!E$7-1)</f>
        <v>0</v>
      </c>
      <c r="F98" s="242">
        <f>-F65*'Assumptions-Retail'!$Q$16*(1+'Assumptions-Overall'!$C$40)^('CashFlow-Retail'!F$7-1)</f>
        <v>0</v>
      </c>
      <c r="G98" s="242">
        <f>-G65*'Assumptions-Retail'!$Q$16*(1+'Assumptions-Overall'!$C$40)^('CashFlow-Retail'!G$7-1)</f>
        <v>0</v>
      </c>
      <c r="H98" s="242">
        <f>-H65*'Assumptions-Retail'!$Q$16*(1+'Assumptions-Overall'!$C$40)^('CashFlow-Retail'!H$7-1)</f>
        <v>0</v>
      </c>
      <c r="I98" s="242">
        <f>-I65*'Assumptions-Retail'!$Q$16*(1+'Assumptions-Overall'!$C$40)^('CashFlow-Retail'!I$7-1)</f>
        <v>0</v>
      </c>
      <c r="J98" s="242">
        <f>-J65*'Assumptions-Retail'!$Q$16*(1+'Assumptions-Overall'!$C$40)^('CashFlow-Retail'!J$7-1)</f>
        <v>-22146.804375101281</v>
      </c>
      <c r="K98" s="242">
        <f>-K65*'Assumptions-Retail'!$Q$16*(1+'Assumptions-Overall'!$C$40)^('CashFlow-Retail'!K$7-1)</f>
        <v>-22811.20850635432</v>
      </c>
      <c r="L98" s="242">
        <f>-L65*'Assumptions-Retail'!$Q$16*(1+'Assumptions-Overall'!$C$40)^('CashFlow-Retail'!L$7-1)</f>
        <v>-23495.544761544948</v>
      </c>
      <c r="M98" s="242">
        <f>-M65*'Assumptions-Retail'!$Q$16*(1+'Assumptions-Overall'!$C$40)^('CashFlow-Retail'!M$7-1)</f>
        <v>-24200.411104391296</v>
      </c>
      <c r="N98" s="247"/>
    </row>
    <row r="99" spans="2:14" x14ac:dyDescent="0.2">
      <c r="B99" s="4"/>
      <c r="C99" s="1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7"/>
    </row>
    <row r="100" spans="2:14" x14ac:dyDescent="0.2">
      <c r="B100" s="4" t="s">
        <v>309</v>
      </c>
      <c r="C100" s="12"/>
      <c r="D100" s="241">
        <f>SUM(D96:D98)</f>
        <v>0</v>
      </c>
      <c r="E100" s="241">
        <f t="shared" ref="E100:M100" si="41">SUM(E96:E98)</f>
        <v>0</v>
      </c>
      <c r="F100" s="241">
        <f t="shared" si="41"/>
        <v>0</v>
      </c>
      <c r="G100" s="241">
        <f t="shared" si="41"/>
        <v>0</v>
      </c>
      <c r="H100" s="241">
        <f t="shared" si="41"/>
        <v>0</v>
      </c>
      <c r="I100" s="241">
        <f t="shared" si="41"/>
        <v>0</v>
      </c>
      <c r="J100" s="241">
        <f t="shared" si="41"/>
        <v>3737526.5744038336</v>
      </c>
      <c r="K100" s="241">
        <f t="shared" si="41"/>
        <v>4233400.3669685908</v>
      </c>
      <c r="L100" s="241">
        <f t="shared" si="41"/>
        <v>4360402.3779776478</v>
      </c>
      <c r="M100" s="241">
        <f t="shared" si="41"/>
        <v>4491214.4493169775</v>
      </c>
      <c r="N100" s="247"/>
    </row>
    <row r="101" spans="2:14" x14ac:dyDescent="0.2">
      <c r="B101" s="4"/>
      <c r="C101" s="1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7"/>
    </row>
    <row r="102" spans="2:14" x14ac:dyDescent="0.2">
      <c r="B102" s="53" t="s">
        <v>209</v>
      </c>
      <c r="C102" s="1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7"/>
    </row>
    <row r="103" spans="2:14" x14ac:dyDescent="0.2">
      <c r="B103" s="4" t="s">
        <v>311</v>
      </c>
      <c r="C103" s="12"/>
      <c r="D103" s="242">
        <f>-(AND(D$8&gt;=YEAR(PhaseIIConBegin),D$8&lt;=YEAR(PhaseIIConEnd)))*SUM($D66:$N66)*(SUM($N69:$N71)/$N65*'Assumptions-Overall'!$M$16+(SUM('CashFlow-Retail'!$N72:$N73)/'CashFlow-Retail'!$N$11*'Assumptions-Overall'!$M$17)*(1+'Assumptions-Overall'!$C$41)^('CashFlow-Retail'!D$7-1)/(YEAR(PhaseIIConEnd)-YEAR(PhaseIIConBegin)+1))</f>
        <v>0</v>
      </c>
      <c r="E103" s="242">
        <f>-(AND(E$8&gt;=YEAR(PhaseIIConBegin),E$8&lt;=YEAR(PhaseIIConEnd)))*SUM($D66:$N66)*(SUM($N69:$N71)/$N65*'Assumptions-Overall'!$M$16+(SUM('CashFlow-Retail'!$N72:$N73)/'CashFlow-Retail'!$N$11*'Assumptions-Overall'!$M$17)*(1+'Assumptions-Overall'!$C$41)^('CashFlow-Retail'!E$7-1)/(YEAR(PhaseIIConEnd)-YEAR(PhaseIIConBegin)+1))</f>
        <v>0</v>
      </c>
      <c r="F103" s="242">
        <f>-(AND(F$8&gt;=YEAR(PhaseIIConBegin),F$8&lt;=YEAR(PhaseIIConEnd)))*SUM($D66:$N66)*(SUM($N69:$N71)/$N65*'Assumptions-Overall'!$M$16+(SUM('CashFlow-Retail'!$N72:$N73)/'CashFlow-Retail'!$N$11*'Assumptions-Overall'!$M$17)*(1+'Assumptions-Overall'!$C$41)^('CashFlow-Retail'!F$7-1)/(YEAR(PhaseIIConEnd)-YEAR(PhaseIIConBegin)+1))</f>
        <v>0</v>
      </c>
      <c r="G103" s="242">
        <f>-(AND(G$8&gt;=YEAR(PhaseIIConBegin),G$8&lt;=YEAR(PhaseIIConEnd)))*SUM($D66:$N66)*(SUM($N69:$N71)/$N65*'Assumptions-Overall'!$M$16+(SUM('CashFlow-Retail'!$N72:$N73)/'CashFlow-Retail'!$N$11*'Assumptions-Overall'!$M$17)*(1+'Assumptions-Overall'!$C$41)^('CashFlow-Retail'!G$7-1)/(YEAR(PhaseIIConEnd)-YEAR(PhaseIIConBegin)+1))</f>
        <v>0</v>
      </c>
      <c r="H103" s="242">
        <f>-(AND(H$8&gt;=YEAR(PhaseIIConBegin),H$8&lt;=YEAR(PhaseIIConEnd)))*SUM($D66:$N66)*(SUM($N69:$N71)/$N65*'Assumptions-Overall'!$M$16+(SUM('CashFlow-Retail'!$N72:$N73)/'CashFlow-Retail'!$N$11*'Assumptions-Overall'!$M$17)*(1+'Assumptions-Overall'!$C$41)^('CashFlow-Retail'!H$7-1)/(YEAR(PhaseIIConEnd)-YEAR(PhaseIIConBegin)+1))</f>
        <v>-19675021.009631112</v>
      </c>
      <c r="I103" s="242">
        <f>-(AND(I$8&gt;=YEAR(PhaseIIConBegin),I$8&lt;=YEAR(PhaseIIConEnd)))*SUM($D66:$N66)*(SUM($N69:$N71)/$N65*'Assumptions-Overall'!$M$16+(SUM('CashFlow-Retail'!$N72:$N73)/'CashFlow-Retail'!$N$11*'Assumptions-Overall'!$M$17)*(1+'Assumptions-Overall'!$C$41)^('CashFlow-Retail'!I$7-1)/(YEAR(PhaseIIConEnd)-YEAR(PhaseIIConBegin)+1))</f>
        <v>-19824439.339920044</v>
      </c>
      <c r="J103" s="242">
        <f>-(AND(J$8&gt;=YEAR(PhaseIIConBegin),J$8&lt;=YEAR(PhaseIIConEnd)))*SUM($D66:$N66)*(SUM($N69:$N71)/$N65*'Assumptions-Overall'!$M$16+(SUM('CashFlow-Retail'!$N72:$N73)/'CashFlow-Retail'!$N$11*'Assumptions-Overall'!$M$17)*(1+'Assumptions-Overall'!$C$41)^('CashFlow-Retail'!J$7-1)/(YEAR(PhaseIIConEnd)-YEAR(PhaseIIConBegin)+1))</f>
        <v>0</v>
      </c>
      <c r="K103" s="242">
        <f>-(AND(K$8&gt;=YEAR(PhaseIIConBegin),K$8&lt;=YEAR(PhaseIIConEnd)))*SUM($D66:$N66)*(SUM($N69:$N71)/$N65*'Assumptions-Overall'!$M$16+(SUM('CashFlow-Retail'!$N72:$N73)/'CashFlow-Retail'!$N$11*'Assumptions-Overall'!$M$17)*(1+'Assumptions-Overall'!$C$41)^('CashFlow-Retail'!K$7-1)/(YEAR(PhaseIIConEnd)-YEAR(PhaseIIConBegin)+1))</f>
        <v>0</v>
      </c>
      <c r="L103" s="242">
        <f>-(AND(L$8&gt;=YEAR(PhaseIIConBegin),L$8&lt;=YEAR(PhaseIIConEnd)))*SUM($D66:$N66)*(SUM($N69:$N71)/$N65*'Assumptions-Overall'!$M$16+(SUM('CashFlow-Retail'!$N72:$N73)/'CashFlow-Retail'!$N$11*'Assumptions-Overall'!$M$17)*(1+'Assumptions-Overall'!$C$41)^('CashFlow-Retail'!L$7-1)/(YEAR(PhaseIIConEnd)-YEAR(PhaseIIConBegin)+1))</f>
        <v>0</v>
      </c>
      <c r="M103" s="242">
        <f>-(AND(M$8&gt;=YEAR(PhaseIIConBegin),M$8&lt;=YEAR(PhaseIIConEnd)))*SUM($D66:$N66)*(SUM($N69:$N71)/$N65*'Assumptions-Overall'!$M$16+(SUM('CashFlow-Retail'!$N72:$N73)/'CashFlow-Retail'!$N$11*'Assumptions-Overall'!$M$17)*(1+'Assumptions-Overall'!$C$41)^('CashFlow-Retail'!M$7-1)/(YEAR(PhaseIIConEnd)-YEAR(PhaseIIConBegin)+1))</f>
        <v>0</v>
      </c>
      <c r="N103" s="247"/>
    </row>
    <row r="104" spans="2:14" x14ac:dyDescent="0.2">
      <c r="B104" s="4" t="s">
        <v>312</v>
      </c>
      <c r="C104" s="12"/>
      <c r="D104" s="242">
        <f>(AND(D$8&gt;=YEAR(PhaseIIPreconBegin),D$8&lt;=YEAR(PhaseIIConEnd)))*SUM($D103:$N103)*'Assumptions-Overall'!$H$43/(YEAR(PhaseIIConEnd)-YEAR(PhaseIIPreconBegin)+1)</f>
        <v>0</v>
      </c>
      <c r="E104" s="242">
        <f>(AND(E$8&gt;=YEAR(PhaseIIPreconBegin),E$8&lt;=YEAR(PhaseIIConEnd)))*SUM($D103:$N103)*'Assumptions-Overall'!$H$43/(YEAR(PhaseIIConEnd)-YEAR(PhaseIIPreconBegin)+1)</f>
        <v>0</v>
      </c>
      <c r="F104" s="242">
        <f>(AND(F$8&gt;=YEAR(PhaseIIPreconBegin),F$8&lt;=YEAR(PhaseIIConEnd)))*SUM($D103:$N103)*'Assumptions-Overall'!$H$43/(YEAR(PhaseIIConEnd)-YEAR(PhaseIIPreconBegin)+1)</f>
        <v>-592491.90524326731</v>
      </c>
      <c r="G104" s="242">
        <f>(AND(G$8&gt;=YEAR(PhaseIIPreconBegin),G$8&lt;=YEAR(PhaseIIConEnd)))*SUM($D103:$N103)*'Assumptions-Overall'!$H$43/(YEAR(PhaseIIConEnd)-YEAR(PhaseIIPreconBegin)+1)</f>
        <v>-592491.90524326731</v>
      </c>
      <c r="H104" s="242">
        <f>(AND(H$8&gt;=YEAR(PhaseIIPreconBegin),H$8&lt;=YEAR(PhaseIIConEnd)))*SUM($D103:$N103)*'Assumptions-Overall'!$H$43/(YEAR(PhaseIIConEnd)-YEAR(PhaseIIPreconBegin)+1)</f>
        <v>-592491.90524326731</v>
      </c>
      <c r="I104" s="242">
        <f>(AND(I$8&gt;=YEAR(PhaseIIPreconBegin),I$8&lt;=YEAR(PhaseIIConEnd)))*SUM($D103:$N103)*'Assumptions-Overall'!$H$43/(YEAR(PhaseIIConEnd)-YEAR(PhaseIIPreconBegin)+1)</f>
        <v>-592491.90524326731</v>
      </c>
      <c r="J104" s="242">
        <f>(AND(J$8&gt;=YEAR(PhaseIIPreconBegin),J$8&lt;=YEAR(PhaseIIConEnd)))*SUM($D103:$N103)*'Assumptions-Overall'!$H$43/(YEAR(PhaseIIConEnd)-YEAR(PhaseIIPreconBegin)+1)</f>
        <v>0</v>
      </c>
      <c r="K104" s="242">
        <f>(AND(K$8&gt;=YEAR(PhaseIIPreconBegin),K$8&lt;=YEAR(PhaseIIConEnd)))*SUM($D103:$N103)*'Assumptions-Overall'!$H$43/(YEAR(PhaseIIConEnd)-YEAR(PhaseIIPreconBegin)+1)</f>
        <v>0</v>
      </c>
      <c r="L104" s="242">
        <f>(AND(L$8&gt;=YEAR(PhaseIIPreconBegin),L$8&lt;=YEAR(PhaseIIConEnd)))*SUM($D103:$N103)*'Assumptions-Overall'!$H$43/(YEAR(PhaseIIConEnd)-YEAR(PhaseIIPreconBegin)+1)</f>
        <v>0</v>
      </c>
      <c r="M104" s="242">
        <f>(AND(M$8&gt;=YEAR(PhaseIIPreconBegin),M$8&lt;=YEAR(PhaseIIConEnd)))*SUM($D103:$N103)*'Assumptions-Overall'!$H$43/(YEAR(PhaseIIConEnd)-YEAR(PhaseIIPreconBegin)+1)</f>
        <v>0</v>
      </c>
      <c r="N104" s="247"/>
    </row>
    <row r="105" spans="2:14" x14ac:dyDescent="0.2">
      <c r="B105" s="4" t="s">
        <v>183</v>
      </c>
      <c r="C105" s="12"/>
      <c r="D105" s="242">
        <f>(AND(D$8&gt;=YEAR(PhaseIIPreconBegin),D$8&lt;=YEAR(PhaseIIConEnd)))*SUM($D103:$N103)*'Assumptions-Overall'!$H$44/(YEAR(PhaseIIConEnd)-YEAR(PhaseIIPreconBegin)+1)</f>
        <v>0</v>
      </c>
      <c r="E105" s="242">
        <f>(AND(E$8&gt;=YEAR(PhaseIIPreconBegin),E$8&lt;=YEAR(PhaseIIConEnd)))*SUM($D103:$N103)*'Assumptions-Overall'!$H$44/(YEAR(PhaseIIConEnd)-YEAR(PhaseIIPreconBegin)+1)</f>
        <v>0</v>
      </c>
      <c r="F105" s="242">
        <f>(AND(F$8&gt;=YEAR(PhaseIIPreconBegin),F$8&lt;=YEAR(PhaseIIConEnd)))*SUM($D103:$N103)*'Assumptions-Overall'!$H$44/(YEAR(PhaseIIConEnd)-YEAR(PhaseIIPreconBegin)+1)</f>
        <v>-1481229.7631081683</v>
      </c>
      <c r="G105" s="242">
        <f>(AND(G$8&gt;=YEAR(PhaseIIPreconBegin),G$8&lt;=YEAR(PhaseIIConEnd)))*SUM($D103:$N103)*'Assumptions-Overall'!$H$44/(YEAR(PhaseIIConEnd)-YEAR(PhaseIIPreconBegin)+1)</f>
        <v>-1481229.7631081683</v>
      </c>
      <c r="H105" s="242">
        <f>(AND(H$8&gt;=YEAR(PhaseIIPreconBegin),H$8&lt;=YEAR(PhaseIIConEnd)))*SUM($D103:$N103)*'Assumptions-Overall'!$H$44/(YEAR(PhaseIIConEnd)-YEAR(PhaseIIPreconBegin)+1)</f>
        <v>-1481229.7631081683</v>
      </c>
      <c r="I105" s="242">
        <f>(AND(I$8&gt;=YEAR(PhaseIIPreconBegin),I$8&lt;=YEAR(PhaseIIConEnd)))*SUM($D103:$N103)*'Assumptions-Overall'!$H$44/(YEAR(PhaseIIConEnd)-YEAR(PhaseIIPreconBegin)+1)</f>
        <v>-1481229.7631081683</v>
      </c>
      <c r="J105" s="242">
        <f>(AND(J$8&gt;=YEAR(PhaseIIPreconBegin),J$8&lt;=YEAR(PhaseIIConEnd)))*SUM($D103:$N103)*'Assumptions-Overall'!$H$44/(YEAR(PhaseIIConEnd)-YEAR(PhaseIIPreconBegin)+1)</f>
        <v>0</v>
      </c>
      <c r="K105" s="242">
        <f>(AND(K$8&gt;=YEAR(PhaseIIPreconBegin),K$8&lt;=YEAR(PhaseIIConEnd)))*SUM($D103:$N103)*'Assumptions-Overall'!$H$44/(YEAR(PhaseIIConEnd)-YEAR(PhaseIIPreconBegin)+1)</f>
        <v>0</v>
      </c>
      <c r="L105" s="242">
        <f>(AND(L$8&gt;=YEAR(PhaseIIPreconBegin),L$8&lt;=YEAR(PhaseIIConEnd)))*SUM($D103:$N103)*'Assumptions-Overall'!$H$44/(YEAR(PhaseIIConEnd)-YEAR(PhaseIIPreconBegin)+1)</f>
        <v>0</v>
      </c>
      <c r="M105" s="242">
        <f>(AND(M$8&gt;=YEAR(PhaseIIPreconBegin),M$8&lt;=YEAR(PhaseIIConEnd)))*SUM($D103:$N103)*'Assumptions-Overall'!$H$44/(YEAR(PhaseIIConEnd)-YEAR(PhaseIIPreconBegin)+1)</f>
        <v>0</v>
      </c>
      <c r="N105" s="247"/>
    </row>
    <row r="106" spans="2:14" x14ac:dyDescent="0.2">
      <c r="B106" s="4" t="s">
        <v>184</v>
      </c>
      <c r="C106" s="12"/>
      <c r="D106" s="240">
        <f>SUM(D103:D105)*'Assumptions-Overall'!$H$45</f>
        <v>0</v>
      </c>
      <c r="E106" s="240">
        <f>SUM(E103:E105)*'Assumptions-Overall'!$H$45</f>
        <v>0</v>
      </c>
      <c r="F106" s="240">
        <f>SUM(F103:F105)*'Assumptions-Overall'!$H$45</f>
        <v>-62211.650050543067</v>
      </c>
      <c r="G106" s="240">
        <f>SUM(G103:G105)*'Assumptions-Overall'!$H$45</f>
        <v>-62211.650050543067</v>
      </c>
      <c r="H106" s="240">
        <f>SUM(H103:H105)*'Assumptions-Overall'!$H$45</f>
        <v>-652462.28033947642</v>
      </c>
      <c r="I106" s="240">
        <f>SUM(I103:I105)*'Assumptions-Overall'!$H$45</f>
        <v>-656944.83024814434</v>
      </c>
      <c r="J106" s="240">
        <f>SUM(J103:J105)*'Assumptions-Overall'!$H$45</f>
        <v>0</v>
      </c>
      <c r="K106" s="240">
        <f>SUM(K103:K105)*'Assumptions-Overall'!$H$45</f>
        <v>0</v>
      </c>
      <c r="L106" s="240">
        <f>SUM(L103:L105)*'Assumptions-Overall'!$H$45</f>
        <v>0</v>
      </c>
      <c r="M106" s="240">
        <f>SUM(M103:M105)*'Assumptions-Overall'!$H$45</f>
        <v>0</v>
      </c>
      <c r="N106" s="247"/>
    </row>
    <row r="107" spans="2:14" x14ac:dyDescent="0.2">
      <c r="B107" s="4" t="s">
        <v>313</v>
      </c>
      <c r="C107" s="12"/>
      <c r="D107" s="242">
        <f>SUM(D103:D106)</f>
        <v>0</v>
      </c>
      <c r="E107" s="242">
        <f t="shared" ref="E107" si="42">SUM(E103:E106)</f>
        <v>0</v>
      </c>
      <c r="F107" s="242">
        <f t="shared" ref="F107" si="43">SUM(F103:F106)</f>
        <v>-2135933.3184019788</v>
      </c>
      <c r="G107" s="242">
        <f t="shared" ref="G107" si="44">SUM(G103:G106)</f>
        <v>-2135933.3184019788</v>
      </c>
      <c r="H107" s="242">
        <f t="shared" ref="H107" si="45">SUM(H103:H106)</f>
        <v>-22401204.958322022</v>
      </c>
      <c r="I107" s="242">
        <f t="shared" ref="I107" si="46">SUM(I103:I106)</f>
        <v>-22555105.838519622</v>
      </c>
      <c r="J107" s="242">
        <f t="shared" ref="J107" si="47">SUM(J103:J106)</f>
        <v>0</v>
      </c>
      <c r="K107" s="242">
        <f t="shared" ref="K107" si="48">SUM(K103:K106)</f>
        <v>0</v>
      </c>
      <c r="L107" s="242">
        <f t="shared" ref="L107" si="49">SUM(L103:L106)</f>
        <v>0</v>
      </c>
      <c r="M107" s="242">
        <f t="shared" ref="M107" si="50">SUM(M103:M106)</f>
        <v>0</v>
      </c>
      <c r="N107" s="247"/>
    </row>
    <row r="108" spans="2:14" x14ac:dyDescent="0.2">
      <c r="B108" s="4"/>
      <c r="C108" s="1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7"/>
    </row>
    <row r="109" spans="2:14" x14ac:dyDescent="0.2">
      <c r="B109" s="53" t="s">
        <v>314</v>
      </c>
      <c r="C109" s="1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7"/>
    </row>
    <row r="110" spans="2:14" x14ac:dyDescent="0.2">
      <c r="B110" s="4" t="s">
        <v>316</v>
      </c>
      <c r="C110" s="12"/>
      <c r="D110" s="242">
        <f>(D$8=YEAR('Assumptions-Overall'!$C$30))*E96/'Assumptions-Overall'!$Y$9</f>
        <v>0</v>
      </c>
      <c r="E110" s="242">
        <f>(E$8=YEAR('Assumptions-Overall'!$C$30))*F96/'Assumptions-Overall'!$Y$9</f>
        <v>0</v>
      </c>
      <c r="F110" s="242">
        <f>(F$8=YEAR('Assumptions-Overall'!$C$30))*G96/'Assumptions-Overall'!$Y$9</f>
        <v>0</v>
      </c>
      <c r="G110" s="242">
        <f>(G$8=YEAR('Assumptions-Overall'!$C$30))*H96/'Assumptions-Overall'!$Y$9</f>
        <v>0</v>
      </c>
      <c r="H110" s="242">
        <f>(H$8=YEAR('Assumptions-Overall'!$C$30))*I96/'Assumptions-Overall'!$Y$9</f>
        <v>0</v>
      </c>
      <c r="I110" s="242">
        <f>(I$8=YEAR('Assumptions-Overall'!$C$30))*J96/'Assumptions-Overall'!$Y$9</f>
        <v>0</v>
      </c>
      <c r="J110" s="242">
        <f>(J$8=YEAR('Assumptions-Overall'!$C$30))*K96/'Assumptions-Overall'!$Y$9</f>
        <v>0</v>
      </c>
      <c r="K110" s="242">
        <f>(K$8=YEAR('Assumptions-Overall'!$C$30))*L96/'Assumptions-Overall'!$Y$9</f>
        <v>0</v>
      </c>
      <c r="L110" s="242">
        <f>(L$8=YEAR('Assumptions-Overall'!$C$30))*M96/'Assumptions-Overall'!$Y$9</f>
        <v>0</v>
      </c>
      <c r="M110" s="242">
        <f>(M$8=YEAR('Assumptions-Overall'!$C$30))*N96/'Assumptions-Overall'!$Y$13</f>
        <v>103352829.02742243</v>
      </c>
      <c r="N110" s="247"/>
    </row>
    <row r="111" spans="2:14" x14ac:dyDescent="0.2">
      <c r="B111" s="4" t="s">
        <v>317</v>
      </c>
      <c r="C111" s="12"/>
      <c r="D111" s="240">
        <f>-D110*'Assumptions-Overall'!$U$27</f>
        <v>0</v>
      </c>
      <c r="E111" s="240">
        <f>-E110*'Assumptions-Overall'!$U$27</f>
        <v>0</v>
      </c>
      <c r="F111" s="240">
        <f>-F110*'Assumptions-Overall'!$U$27</f>
        <v>0</v>
      </c>
      <c r="G111" s="240">
        <f>-G110*'Assumptions-Overall'!$U$27</f>
        <v>0</v>
      </c>
      <c r="H111" s="240">
        <f>-H110*'Assumptions-Overall'!$U$27</f>
        <v>0</v>
      </c>
      <c r="I111" s="240">
        <f>-I110*'Assumptions-Overall'!$U$27</f>
        <v>0</v>
      </c>
      <c r="J111" s="240">
        <f>-J110*'Assumptions-Overall'!$U$27</f>
        <v>0</v>
      </c>
      <c r="K111" s="240">
        <f>-K110*'Assumptions-Overall'!$U$27</f>
        <v>0</v>
      </c>
      <c r="L111" s="240">
        <f>-L110*'Assumptions-Overall'!$U$27</f>
        <v>0</v>
      </c>
      <c r="M111" s="240">
        <f>-M110*'Assumptions-Overall'!$U$27</f>
        <v>-1033528.2902742244</v>
      </c>
      <c r="N111" s="247"/>
    </row>
    <row r="112" spans="2:14" x14ac:dyDescent="0.2">
      <c r="B112" s="4" t="s">
        <v>318</v>
      </c>
      <c r="C112" s="12"/>
      <c r="D112" s="242">
        <f>SUM(D110:D111)</f>
        <v>0</v>
      </c>
      <c r="E112" s="242">
        <f t="shared" ref="E112" si="51">SUM(E110:E111)</f>
        <v>0</v>
      </c>
      <c r="F112" s="242">
        <f t="shared" ref="F112" si="52">SUM(F110:F111)</f>
        <v>0</v>
      </c>
      <c r="G112" s="242">
        <f t="shared" ref="G112" si="53">SUM(G110:G111)</f>
        <v>0</v>
      </c>
      <c r="H112" s="242">
        <f t="shared" ref="H112" si="54">SUM(H110:H111)</f>
        <v>0</v>
      </c>
      <c r="I112" s="242">
        <f t="shared" ref="I112" si="55">SUM(I110:I111)</f>
        <v>0</v>
      </c>
      <c r="J112" s="242">
        <f t="shared" ref="J112" si="56">SUM(J110:J111)</f>
        <v>0</v>
      </c>
      <c r="K112" s="242">
        <f t="shared" ref="K112" si="57">SUM(K110:K111)</f>
        <v>0</v>
      </c>
      <c r="L112" s="242">
        <f t="shared" ref="L112" si="58">SUM(L110:L111)</f>
        <v>0</v>
      </c>
      <c r="M112" s="242">
        <f t="shared" ref="M112" si="59">SUM(M110:M111)</f>
        <v>102319300.73714821</v>
      </c>
      <c r="N112" s="247"/>
    </row>
    <row r="113" spans="2:14" x14ac:dyDescent="0.2">
      <c r="B113" s="4"/>
      <c r="C113" s="1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7"/>
    </row>
    <row r="114" spans="2:14" x14ac:dyDescent="0.2">
      <c r="B114" s="4" t="s">
        <v>315</v>
      </c>
      <c r="C114" s="12"/>
      <c r="D114" s="242">
        <f t="shared" ref="D114:M114" si="60">D100+D107+D112</f>
        <v>0</v>
      </c>
      <c r="E114" s="242">
        <f t="shared" si="60"/>
        <v>0</v>
      </c>
      <c r="F114" s="242">
        <f t="shared" si="60"/>
        <v>-2135933.3184019788</v>
      </c>
      <c r="G114" s="242">
        <f t="shared" si="60"/>
        <v>-2135933.3184019788</v>
      </c>
      <c r="H114" s="242">
        <f t="shared" si="60"/>
        <v>-22401204.958322022</v>
      </c>
      <c r="I114" s="242">
        <f t="shared" si="60"/>
        <v>-22555105.838519622</v>
      </c>
      <c r="J114" s="242">
        <f t="shared" si="60"/>
        <v>3737526.5744038336</v>
      </c>
      <c r="K114" s="242">
        <f t="shared" si="60"/>
        <v>4233400.3669685908</v>
      </c>
      <c r="L114" s="242">
        <f t="shared" si="60"/>
        <v>4360402.3779776478</v>
      </c>
      <c r="M114" s="242">
        <f t="shared" si="60"/>
        <v>106810515.18646519</v>
      </c>
      <c r="N114" s="247"/>
    </row>
    <row r="115" spans="2:14" x14ac:dyDescent="0.2">
      <c r="B115" s="4" t="s">
        <v>320</v>
      </c>
      <c r="C115" s="254">
        <f>IFERROR(IRR(D114:M114),"n/a")</f>
        <v>0.2179952251220334</v>
      </c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7"/>
    </row>
    <row r="116" spans="2:14" ht="12.75" thickBot="1" x14ac:dyDescent="0.25">
      <c r="B116" s="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6"/>
    </row>
    <row r="117" spans="2:14" x14ac:dyDescent="0.2">
      <c r="B117" s="250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2"/>
    </row>
    <row r="118" spans="2:14" x14ac:dyDescent="0.2">
      <c r="B118" s="243" t="s">
        <v>298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3"/>
    </row>
    <row r="119" spans="2:14" x14ac:dyDescent="0.2">
      <c r="B119" s="4" t="s">
        <v>293</v>
      </c>
      <c r="C119" s="12"/>
      <c r="D119" s="244">
        <f>SUM(D123:D127)</f>
        <v>0</v>
      </c>
      <c r="E119" s="244">
        <f t="shared" ref="E119:N119" si="61">SUM(E123:E127)</f>
        <v>0</v>
      </c>
      <c r="F119" s="244">
        <f t="shared" si="61"/>
        <v>0</v>
      </c>
      <c r="G119" s="244">
        <f t="shared" si="61"/>
        <v>0</v>
      </c>
      <c r="H119" s="244">
        <f t="shared" si="61"/>
        <v>0</v>
      </c>
      <c r="I119" s="244">
        <f t="shared" si="61"/>
        <v>0</v>
      </c>
      <c r="J119" s="244">
        <f t="shared" si="61"/>
        <v>0</v>
      </c>
      <c r="K119" s="244">
        <f t="shared" si="61"/>
        <v>0</v>
      </c>
      <c r="L119" s="244">
        <f t="shared" si="61"/>
        <v>106374.99999999999</v>
      </c>
      <c r="M119" s="244">
        <f t="shared" si="61"/>
        <v>106374.99999999999</v>
      </c>
      <c r="N119" s="245">
        <f t="shared" si="61"/>
        <v>106374.99999999999</v>
      </c>
    </row>
    <row r="120" spans="2:14" x14ac:dyDescent="0.2">
      <c r="B120" s="4" t="s">
        <v>294</v>
      </c>
      <c r="C120" s="12"/>
      <c r="D120" s="244">
        <f>D119-C119</f>
        <v>0</v>
      </c>
      <c r="E120" s="244">
        <f t="shared" ref="E120" si="62">E119-D119</f>
        <v>0</v>
      </c>
      <c r="F120" s="244">
        <f t="shared" ref="F120" si="63">F119-E119</f>
        <v>0</v>
      </c>
      <c r="G120" s="244">
        <f t="shared" ref="G120" si="64">G119-F119</f>
        <v>0</v>
      </c>
      <c r="H120" s="244">
        <f t="shared" ref="H120" si="65">H119-G119</f>
        <v>0</v>
      </c>
      <c r="I120" s="244">
        <f t="shared" ref="I120" si="66">I119-H119</f>
        <v>0</v>
      </c>
      <c r="J120" s="244">
        <f t="shared" ref="J120" si="67">J119-I119</f>
        <v>0</v>
      </c>
      <c r="K120" s="244">
        <f t="shared" ref="K120" si="68">K119-J119</f>
        <v>0</v>
      </c>
      <c r="L120" s="244">
        <f t="shared" ref="L120" si="69">L119-K119</f>
        <v>106374.99999999999</v>
      </c>
      <c r="M120" s="244">
        <f t="shared" ref="M120" si="70">M119-L119</f>
        <v>0</v>
      </c>
      <c r="N120" s="245">
        <f t="shared" ref="N120" si="71">N119-M119</f>
        <v>0</v>
      </c>
    </row>
    <row r="121" spans="2:14" x14ac:dyDescent="0.2">
      <c r="B121" s="4"/>
      <c r="C121" s="12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5"/>
    </row>
    <row r="122" spans="2:14" x14ac:dyDescent="0.2">
      <c r="B122" s="53" t="s">
        <v>331</v>
      </c>
      <c r="C122" s="12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5"/>
    </row>
    <row r="123" spans="2:14" x14ac:dyDescent="0.2">
      <c r="B123" s="4" t="str">
        <f>B69</f>
        <v>Grocery</v>
      </c>
      <c r="C123" s="12"/>
      <c r="D123" s="244">
        <f>(D$8&gt;=YEAR(PhaseIIIComplete))*'Assumptions-Retail'!$F9</f>
        <v>0</v>
      </c>
      <c r="E123" s="244">
        <f>(E$8&gt;=YEAR(PhaseIIIComplete))*'Assumptions-Retail'!$F9</f>
        <v>0</v>
      </c>
      <c r="F123" s="244">
        <f>(F$8&gt;=YEAR(PhaseIIIComplete))*'Assumptions-Retail'!$F9</f>
        <v>0</v>
      </c>
      <c r="G123" s="244">
        <f>(G$8&gt;=YEAR(PhaseIIIComplete))*'Assumptions-Retail'!$F9</f>
        <v>0</v>
      </c>
      <c r="H123" s="244">
        <f>(H$8&gt;=YEAR(PhaseIIIComplete))*'Assumptions-Retail'!$F9</f>
        <v>0</v>
      </c>
      <c r="I123" s="244">
        <f>(I$8&gt;=YEAR(PhaseIIIComplete))*'Assumptions-Retail'!$F9</f>
        <v>0</v>
      </c>
      <c r="J123" s="244">
        <f>(J$8&gt;=YEAR(PhaseIIIComplete))*'Assumptions-Retail'!$F9</f>
        <v>0</v>
      </c>
      <c r="K123" s="244">
        <f>(K$8&gt;=YEAR(PhaseIIIComplete))*'Assumptions-Retail'!$F9</f>
        <v>0</v>
      </c>
      <c r="L123" s="244">
        <f>(L$8&gt;=YEAR(PhaseIIIComplete))*'Assumptions-Retail'!$F9</f>
        <v>0</v>
      </c>
      <c r="M123" s="244">
        <f>(M$8&gt;=YEAR(PhaseIIIComplete))*'Assumptions-Retail'!$F9</f>
        <v>0</v>
      </c>
      <c r="N123" s="245">
        <f>(N$8&gt;=YEAR(PhaseIIIComplete))*'Assumptions-Retail'!$F9</f>
        <v>0</v>
      </c>
    </row>
    <row r="124" spans="2:14" x14ac:dyDescent="0.2">
      <c r="B124" s="4" t="str">
        <f>B70</f>
        <v>Food Hall</v>
      </c>
      <c r="C124" s="12"/>
      <c r="D124" s="244">
        <f>(D$8&gt;=YEAR(PhaseIIIComplete))*'Assumptions-Retail'!$F10</f>
        <v>0</v>
      </c>
      <c r="E124" s="244">
        <f>(E$8&gt;=YEAR(PhaseIIIComplete))*'Assumptions-Retail'!$F10</f>
        <v>0</v>
      </c>
      <c r="F124" s="244">
        <f>(F$8&gt;=YEAR(PhaseIIIComplete))*'Assumptions-Retail'!$F10</f>
        <v>0</v>
      </c>
      <c r="G124" s="244">
        <f>(G$8&gt;=YEAR(PhaseIIIComplete))*'Assumptions-Retail'!$F10</f>
        <v>0</v>
      </c>
      <c r="H124" s="244">
        <f>(H$8&gt;=YEAR(PhaseIIIComplete))*'Assumptions-Retail'!$F10</f>
        <v>0</v>
      </c>
      <c r="I124" s="244">
        <f>(I$8&gt;=YEAR(PhaseIIIComplete))*'Assumptions-Retail'!$F10</f>
        <v>0</v>
      </c>
      <c r="J124" s="244">
        <f>(J$8&gt;=YEAR(PhaseIIIComplete))*'Assumptions-Retail'!$F10</f>
        <v>0</v>
      </c>
      <c r="K124" s="244">
        <f>(K$8&gt;=YEAR(PhaseIIIComplete))*'Assumptions-Retail'!$F10</f>
        <v>0</v>
      </c>
      <c r="L124" s="244">
        <f>(L$8&gt;=YEAR(PhaseIIIComplete))*'Assumptions-Retail'!$F10</f>
        <v>0</v>
      </c>
      <c r="M124" s="244">
        <f>(M$8&gt;=YEAR(PhaseIIIComplete))*'Assumptions-Retail'!$F10</f>
        <v>0</v>
      </c>
      <c r="N124" s="245">
        <f>(N$8&gt;=YEAR(PhaseIIIComplete))*'Assumptions-Retail'!$F10</f>
        <v>0</v>
      </c>
    </row>
    <row r="125" spans="2:14" x14ac:dyDescent="0.2">
      <c r="B125" s="4" t="str">
        <f>B71</f>
        <v>Fitness Center</v>
      </c>
      <c r="C125" s="12"/>
      <c r="D125" s="244">
        <f>(D$8&gt;=YEAR(PhaseIIIComplete))*'Assumptions-Retail'!$F11</f>
        <v>0</v>
      </c>
      <c r="E125" s="244">
        <f>(E$8&gt;=YEAR(PhaseIIIComplete))*'Assumptions-Retail'!$F11</f>
        <v>0</v>
      </c>
      <c r="F125" s="244">
        <f>(F$8&gt;=YEAR(PhaseIIIComplete))*'Assumptions-Retail'!$F11</f>
        <v>0</v>
      </c>
      <c r="G125" s="244">
        <f>(G$8&gt;=YEAR(PhaseIIIComplete))*'Assumptions-Retail'!$F11</f>
        <v>0</v>
      </c>
      <c r="H125" s="244">
        <f>(H$8&gt;=YEAR(PhaseIIIComplete))*'Assumptions-Retail'!$F11</f>
        <v>0</v>
      </c>
      <c r="I125" s="244">
        <f>(I$8&gt;=YEAR(PhaseIIIComplete))*'Assumptions-Retail'!$F11</f>
        <v>0</v>
      </c>
      <c r="J125" s="244">
        <f>(J$8&gt;=YEAR(PhaseIIIComplete))*'Assumptions-Retail'!$F11</f>
        <v>0</v>
      </c>
      <c r="K125" s="244">
        <f>(K$8&gt;=YEAR(PhaseIIIComplete))*'Assumptions-Retail'!$F11</f>
        <v>0</v>
      </c>
      <c r="L125" s="244">
        <f>(L$8&gt;=YEAR(PhaseIIIComplete))*'Assumptions-Retail'!$F11</f>
        <v>35987</v>
      </c>
      <c r="M125" s="244">
        <f>(M$8&gt;=YEAR(PhaseIIIComplete))*'Assumptions-Retail'!$F11</f>
        <v>35987</v>
      </c>
      <c r="N125" s="245">
        <f>(N$8&gt;=YEAR(PhaseIIIComplete))*'Assumptions-Retail'!$F11</f>
        <v>35987</v>
      </c>
    </row>
    <row r="126" spans="2:14" x14ac:dyDescent="0.2">
      <c r="B126" s="4" t="str">
        <f>B72</f>
        <v>Market Rate Non-Anchor Space</v>
      </c>
      <c r="C126" s="12"/>
      <c r="D126" s="244">
        <f>(D$8&gt;=YEAR(PhaseIIIComplete))*'Assumptions-Retail'!$F12</f>
        <v>0</v>
      </c>
      <c r="E126" s="244">
        <f>(E$8&gt;=YEAR(PhaseIIIComplete))*'Assumptions-Retail'!$F12</f>
        <v>0</v>
      </c>
      <c r="F126" s="244">
        <f>(F$8&gt;=YEAR(PhaseIIIComplete))*'Assumptions-Retail'!$F12</f>
        <v>0</v>
      </c>
      <c r="G126" s="244">
        <f>(G$8&gt;=YEAR(PhaseIIIComplete))*'Assumptions-Retail'!$F12</f>
        <v>0</v>
      </c>
      <c r="H126" s="244">
        <f>(H$8&gt;=YEAR(PhaseIIIComplete))*'Assumptions-Retail'!$F12</f>
        <v>0</v>
      </c>
      <c r="I126" s="244">
        <f>(I$8&gt;=YEAR(PhaseIIIComplete))*'Assumptions-Retail'!$F12</f>
        <v>0</v>
      </c>
      <c r="J126" s="244">
        <f>(J$8&gt;=YEAR(PhaseIIIComplete))*'Assumptions-Retail'!$F12</f>
        <v>0</v>
      </c>
      <c r="K126" s="244">
        <f>(K$8&gt;=YEAR(PhaseIIIComplete))*'Assumptions-Retail'!$F12</f>
        <v>0</v>
      </c>
      <c r="L126" s="244">
        <f>(L$8&gt;=YEAR(PhaseIIIComplete))*'Assumptions-Retail'!$F12</f>
        <v>59829.799999999996</v>
      </c>
      <c r="M126" s="244">
        <f>(M$8&gt;=YEAR(PhaseIIIComplete))*'Assumptions-Retail'!$F12</f>
        <v>59829.799999999996</v>
      </c>
      <c r="N126" s="245">
        <f>(N$8&gt;=YEAR(PhaseIIIComplete))*'Assumptions-Retail'!$F12</f>
        <v>59829.799999999996</v>
      </c>
    </row>
    <row r="127" spans="2:14" x14ac:dyDescent="0.2">
      <c r="B127" s="4" t="str">
        <f>B73</f>
        <v>Affordable Non-Anchor Space</v>
      </c>
      <c r="C127" s="12"/>
      <c r="D127" s="244">
        <f>(D$8&gt;=YEAR(PhaseIIIComplete))*'Assumptions-Retail'!$F13</f>
        <v>0</v>
      </c>
      <c r="E127" s="244">
        <f>(E$8&gt;=YEAR(PhaseIIIComplete))*'Assumptions-Retail'!$F13</f>
        <v>0</v>
      </c>
      <c r="F127" s="244">
        <f>(F$8&gt;=YEAR(PhaseIIIComplete))*'Assumptions-Retail'!$F13</f>
        <v>0</v>
      </c>
      <c r="G127" s="244">
        <f>(G$8&gt;=YEAR(PhaseIIIComplete))*'Assumptions-Retail'!$F13</f>
        <v>0</v>
      </c>
      <c r="H127" s="244">
        <f>(H$8&gt;=YEAR(PhaseIIIComplete))*'Assumptions-Retail'!$F13</f>
        <v>0</v>
      </c>
      <c r="I127" s="244">
        <f>(I$8&gt;=YEAR(PhaseIIIComplete))*'Assumptions-Retail'!$F13</f>
        <v>0</v>
      </c>
      <c r="J127" s="244">
        <f>(J$8&gt;=YEAR(PhaseIIIComplete))*'Assumptions-Retail'!$F13</f>
        <v>0</v>
      </c>
      <c r="K127" s="244">
        <f>(K$8&gt;=YEAR(PhaseIIIComplete))*'Assumptions-Retail'!$F13</f>
        <v>0</v>
      </c>
      <c r="L127" s="244">
        <f>(L$8&gt;=YEAR(PhaseIIIComplete))*'Assumptions-Retail'!$F13</f>
        <v>10558.199999999999</v>
      </c>
      <c r="M127" s="244">
        <f>(M$8&gt;=YEAR(PhaseIIIComplete))*'Assumptions-Retail'!$F13</f>
        <v>10558.199999999999</v>
      </c>
      <c r="N127" s="245">
        <f>(N$8&gt;=YEAR(PhaseIIIComplete))*'Assumptions-Retail'!$F13</f>
        <v>10558.199999999999</v>
      </c>
    </row>
    <row r="128" spans="2:14" x14ac:dyDescent="0.2">
      <c r="B128" s="4"/>
      <c r="C128" s="12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5"/>
    </row>
    <row r="129" spans="2:14" x14ac:dyDescent="0.2">
      <c r="B129" s="53" t="s">
        <v>307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3"/>
    </row>
    <row r="130" spans="2:14" x14ac:dyDescent="0.2">
      <c r="B130" s="4" t="s">
        <v>336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3"/>
    </row>
    <row r="131" spans="2:14" x14ac:dyDescent="0.2">
      <c r="B131" s="246" t="s">
        <v>478</v>
      </c>
      <c r="C131" s="12"/>
      <c r="D131" s="242">
        <f>SUMPRODUCT(D123:D125,'Assumptions-Retail'!$L$9:$L$11)*(1+'Assumptions-Overall'!$C$35)^('CashFlow-Retail'!D$7-1)</f>
        <v>0</v>
      </c>
      <c r="E131" s="242">
        <f>SUMPRODUCT(E123:E125,'Assumptions-Retail'!$L$9:$L$11)*(1+'Assumptions-Overall'!$C$35)^('CashFlow-Retail'!E$7-1)</f>
        <v>0</v>
      </c>
      <c r="F131" s="242">
        <f>SUMPRODUCT(F123:F125,'Assumptions-Retail'!$L$9:$L$11)*(1+'Assumptions-Overall'!$C$35)^('CashFlow-Retail'!F$7-1)</f>
        <v>0</v>
      </c>
      <c r="G131" s="242">
        <f>SUMPRODUCT(G123:G125,'Assumptions-Retail'!$L$9:$L$11)*(1+'Assumptions-Overall'!$C$35)^('CashFlow-Retail'!G$7-1)</f>
        <v>0</v>
      </c>
      <c r="H131" s="242">
        <f>SUMPRODUCT(H123:H125,'Assumptions-Retail'!$L$9:$L$11)*(1+'Assumptions-Overall'!$C$35)^('CashFlow-Retail'!H$7-1)</f>
        <v>0</v>
      </c>
      <c r="I131" s="242">
        <f>SUMPRODUCT(I123:I125,'Assumptions-Retail'!$L$9:$L$11)*(1+'Assumptions-Overall'!$C$35)^('CashFlow-Retail'!I$7-1)</f>
        <v>0</v>
      </c>
      <c r="J131" s="242">
        <f>SUMPRODUCT(J123:J125,'Assumptions-Retail'!$L$9:$L$11)*(1+'Assumptions-Overall'!$C$35)^('CashFlow-Retail'!J$7-1)</f>
        <v>0</v>
      </c>
      <c r="K131" s="242">
        <f>SUMPRODUCT(K123:K125,'Assumptions-Retail'!$L$9:$L$11)*(1+'Assumptions-Overall'!$C$35)^('CashFlow-Retail'!K$7-1)</f>
        <v>0</v>
      </c>
      <c r="L131" s="242">
        <f>SUMPRODUCT(L123:L125,'Assumptions-Retail'!$L$9:$L$11)*(1+'Assumptions-Overall'!$C$35)^('CashFlow-Retail'!L$7-1)</f>
        <v>1504379.4123235724</v>
      </c>
      <c r="M131" s="242">
        <f>SUMPRODUCT(M123:M125,'Assumptions-Retail'!$L$9:$L$11)*(1+'Assumptions-Overall'!$C$35)^('CashFlow-Retail'!M$7-1)</f>
        <v>1549510.7946932798</v>
      </c>
      <c r="N131" s="247">
        <f>SUMPRODUCT(N123:N125,'Assumptions-Retail'!$L$9:$L$11)*(1+'Assumptions-Overall'!$C$35)^('CashFlow-Retail'!N$7-1)</f>
        <v>1595996.1185340781</v>
      </c>
    </row>
    <row r="132" spans="2:14" x14ac:dyDescent="0.2">
      <c r="B132" s="246" t="s">
        <v>333</v>
      </c>
      <c r="C132" s="12"/>
      <c r="D132" s="240">
        <f>SUMPRODUCT(D126:D127,'Assumptions-Retail'!$L$12:$L$13)*(1+'Assumptions-Overall'!$C$35)^('CashFlow-Retail'!D$7-1)</f>
        <v>0</v>
      </c>
      <c r="E132" s="240">
        <f>SUMPRODUCT(E126:E127,'Assumptions-Retail'!$L$12:$L$13)*(1+'Assumptions-Overall'!$C$35)^('CashFlow-Retail'!E$7-1)</f>
        <v>0</v>
      </c>
      <c r="F132" s="240">
        <f>SUMPRODUCT(F126:F127,'Assumptions-Retail'!$L$12:$L$13)*(1+'Assumptions-Overall'!$C$35)^('CashFlow-Retail'!F$7-1)</f>
        <v>0</v>
      </c>
      <c r="G132" s="240">
        <f>SUMPRODUCT(G126:G127,'Assumptions-Retail'!$L$12:$L$13)*(1+'Assumptions-Overall'!$C$35)^('CashFlow-Retail'!G$7-1)</f>
        <v>0</v>
      </c>
      <c r="H132" s="240">
        <f>SUMPRODUCT(H126:H127,'Assumptions-Retail'!$L$12:$L$13)*(1+'Assumptions-Overall'!$C$35)^('CashFlow-Retail'!H$7-1)</f>
        <v>0</v>
      </c>
      <c r="I132" s="240">
        <f>SUMPRODUCT(I126:I127,'Assumptions-Retail'!$L$12:$L$13)*(1+'Assumptions-Overall'!$C$35)^('CashFlow-Retail'!I$7-1)</f>
        <v>0</v>
      </c>
      <c r="J132" s="240">
        <f>SUMPRODUCT(J126:J127,'Assumptions-Retail'!$L$12:$L$13)*(1+'Assumptions-Overall'!$C$35)^('CashFlow-Retail'!J$7-1)</f>
        <v>0</v>
      </c>
      <c r="K132" s="240">
        <f>SUMPRODUCT(K126:K127,'Assumptions-Retail'!$L$12:$L$13)*(1+'Assumptions-Overall'!$C$35)^('CashFlow-Retail'!K$7-1)</f>
        <v>0</v>
      </c>
      <c r="L132" s="240">
        <f>SUMPRODUCT(L126:L127,'Assumptions-Retail'!$L$12:$L$13)*(1+'Assumptions-Overall'!$C$35)^('CashFlow-Retail'!L$7-1)</f>
        <v>5621879.2574132597</v>
      </c>
      <c r="M132" s="240">
        <f>SUMPRODUCT(M126:M127,'Assumptions-Retail'!$L$12:$L$13)*(1+'Assumptions-Overall'!$C$35)^('CashFlow-Retail'!M$7-1)</f>
        <v>5790535.6351356581</v>
      </c>
      <c r="N132" s="248">
        <f>SUMPRODUCT(N126:N127,'Assumptions-Retail'!$L$12:$L$13)*(1+'Assumptions-Overall'!$C$35)^('CashFlow-Retail'!N$7-1)</f>
        <v>5964251.704189728</v>
      </c>
    </row>
    <row r="133" spans="2:14" x14ac:dyDescent="0.2">
      <c r="B133" s="4" t="s">
        <v>337</v>
      </c>
      <c r="C133" s="12"/>
      <c r="D133" s="242">
        <f t="shared" ref="D133:N133" si="72">SUM(D131:D132)</f>
        <v>0</v>
      </c>
      <c r="E133" s="242">
        <f t="shared" si="72"/>
        <v>0</v>
      </c>
      <c r="F133" s="242">
        <f t="shared" si="72"/>
        <v>0</v>
      </c>
      <c r="G133" s="242">
        <f t="shared" si="72"/>
        <v>0</v>
      </c>
      <c r="H133" s="242">
        <f t="shared" si="72"/>
        <v>0</v>
      </c>
      <c r="I133" s="242">
        <f t="shared" si="72"/>
        <v>0</v>
      </c>
      <c r="J133" s="242">
        <f t="shared" si="72"/>
        <v>0</v>
      </c>
      <c r="K133" s="242">
        <f t="shared" si="72"/>
        <v>0</v>
      </c>
      <c r="L133" s="242">
        <f t="shared" si="72"/>
        <v>7126258.6697368324</v>
      </c>
      <c r="M133" s="242">
        <f t="shared" si="72"/>
        <v>7340046.4298289381</v>
      </c>
      <c r="N133" s="247">
        <f t="shared" si="72"/>
        <v>7560247.8227238059</v>
      </c>
    </row>
    <row r="134" spans="2:14" x14ac:dyDescent="0.2">
      <c r="B134" s="4"/>
      <c r="C134" s="1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7"/>
    </row>
    <row r="135" spans="2:14" x14ac:dyDescent="0.2">
      <c r="B135" s="4" t="s">
        <v>338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/>
    </row>
    <row r="136" spans="2:14" x14ac:dyDescent="0.2">
      <c r="B136" s="246" t="str">
        <f>B131</f>
        <v>Grocery/Food Hall/Fitness Anchors</v>
      </c>
      <c r="C136" s="12"/>
      <c r="D136" s="242">
        <f>IFERROR(-SUM(D123:D125)/D119*D148,0)</f>
        <v>0</v>
      </c>
      <c r="E136" s="242">
        <f t="shared" ref="E136:N136" si="73">IFERROR(-SUM(E123:E125)/E119*E148,0)</f>
        <v>0</v>
      </c>
      <c r="F136" s="242">
        <f t="shared" si="73"/>
        <v>0</v>
      </c>
      <c r="G136" s="242">
        <f t="shared" si="73"/>
        <v>0</v>
      </c>
      <c r="H136" s="242">
        <f t="shared" si="73"/>
        <v>0</v>
      </c>
      <c r="I136" s="242">
        <f t="shared" si="73"/>
        <v>0</v>
      </c>
      <c r="J136" s="242">
        <f t="shared" si="73"/>
        <v>0</v>
      </c>
      <c r="K136" s="242">
        <f t="shared" si="73"/>
        <v>0</v>
      </c>
      <c r="L136" s="242">
        <f t="shared" si="73"/>
        <v>820570.58854013053</v>
      </c>
      <c r="M136" s="242">
        <f t="shared" si="73"/>
        <v>845187.70619633445</v>
      </c>
      <c r="N136" s="247">
        <f t="shared" si="73"/>
        <v>870543.33738222439</v>
      </c>
    </row>
    <row r="137" spans="2:14" x14ac:dyDescent="0.2">
      <c r="B137" s="246" t="s">
        <v>333</v>
      </c>
      <c r="C137" s="12"/>
      <c r="D137" s="240">
        <f>-D148-D136</f>
        <v>0</v>
      </c>
      <c r="E137" s="240">
        <f t="shared" ref="E137" si="74">-E148-E136</f>
        <v>0</v>
      </c>
      <c r="F137" s="240">
        <f t="shared" ref="F137" si="75">-F148-F136</f>
        <v>0</v>
      </c>
      <c r="G137" s="240">
        <f t="shared" ref="G137" si="76">-G148-G136</f>
        <v>0</v>
      </c>
      <c r="H137" s="240">
        <f t="shared" ref="H137" si="77">-H148-H136</f>
        <v>0</v>
      </c>
      <c r="I137" s="240">
        <f t="shared" ref="I137" si="78">-I148-I136</f>
        <v>0</v>
      </c>
      <c r="J137" s="240">
        <f t="shared" ref="J137" si="79">-J148-J136</f>
        <v>0</v>
      </c>
      <c r="K137" s="240">
        <f t="shared" ref="K137" si="80">-K148-K136</f>
        <v>0</v>
      </c>
      <c r="L137" s="240">
        <f t="shared" ref="L137" si="81">-L148-L136</f>
        <v>1604977.4247968069</v>
      </c>
      <c r="M137" s="240">
        <f t="shared" ref="M137" si="82">-M148-M136</f>
        <v>1653126.7475407112</v>
      </c>
      <c r="N137" s="248">
        <f t="shared" ref="N137" si="83">-N148-N136</f>
        <v>1702720.5499669323</v>
      </c>
    </row>
    <row r="138" spans="2:14" x14ac:dyDescent="0.2">
      <c r="B138" s="4" t="s">
        <v>339</v>
      </c>
      <c r="C138" s="12"/>
      <c r="D138" s="242">
        <f t="shared" ref="D138:N138" si="84">SUM(D136:D137)</f>
        <v>0</v>
      </c>
      <c r="E138" s="242">
        <f t="shared" si="84"/>
        <v>0</v>
      </c>
      <c r="F138" s="242">
        <f t="shared" si="84"/>
        <v>0</v>
      </c>
      <c r="G138" s="242">
        <f t="shared" si="84"/>
        <v>0</v>
      </c>
      <c r="H138" s="242">
        <f t="shared" si="84"/>
        <v>0</v>
      </c>
      <c r="I138" s="242">
        <f t="shared" si="84"/>
        <v>0</v>
      </c>
      <c r="J138" s="242">
        <f t="shared" si="84"/>
        <v>0</v>
      </c>
      <c r="K138" s="242">
        <f t="shared" si="84"/>
        <v>0</v>
      </c>
      <c r="L138" s="242">
        <f t="shared" si="84"/>
        <v>2425548.0133369374</v>
      </c>
      <c r="M138" s="242">
        <f t="shared" si="84"/>
        <v>2498314.4537370456</v>
      </c>
      <c r="N138" s="247">
        <f t="shared" si="84"/>
        <v>2573263.8873491567</v>
      </c>
    </row>
    <row r="139" spans="2:14" x14ac:dyDescent="0.2">
      <c r="B139" s="4"/>
      <c r="C139" s="1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7"/>
    </row>
    <row r="140" spans="2:14" x14ac:dyDescent="0.2">
      <c r="B140" s="4" t="s">
        <v>301</v>
      </c>
      <c r="C140" s="1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7"/>
    </row>
    <row r="141" spans="2:14" x14ac:dyDescent="0.2">
      <c r="B141" s="246" t="s">
        <v>334</v>
      </c>
      <c r="C141" s="12"/>
      <c r="D141" s="242">
        <f>-(D131+D136)*'Assumptions-Retail'!$Q$8</f>
        <v>0</v>
      </c>
      <c r="E141" s="242">
        <f>-(E131+E136)*'Assumptions-Retail'!$Q$8</f>
        <v>0</v>
      </c>
      <c r="F141" s="242">
        <f>-(F131+F136)*'Assumptions-Retail'!$Q$8</f>
        <v>0</v>
      </c>
      <c r="G141" s="242">
        <f>-(G131+G136)*'Assumptions-Retail'!$Q$8</f>
        <v>0</v>
      </c>
      <c r="H141" s="242">
        <f>-(H131+H136)*'Assumptions-Retail'!$Q$8</f>
        <v>0</v>
      </c>
      <c r="I141" s="242">
        <f>-(I131+I136)*'Assumptions-Retail'!$Q$8</f>
        <v>0</v>
      </c>
      <c r="J141" s="242">
        <f>-(J131+J136)*'Assumptions-Retail'!$Q$8</f>
        <v>0</v>
      </c>
      <c r="K141" s="242">
        <f>-(K131+K136)*'Assumptions-Retail'!$Q$8</f>
        <v>0</v>
      </c>
      <c r="L141" s="242">
        <f>-(L131+L136)*'Assumptions-Retail'!$Q$8</f>
        <v>0</v>
      </c>
      <c r="M141" s="242">
        <f>-(M131+M136)*'Assumptions-Retail'!$Q$8</f>
        <v>0</v>
      </c>
      <c r="N141" s="247">
        <f>-(N131+N136)*'Assumptions-Retail'!$Q$8</f>
        <v>0</v>
      </c>
    </row>
    <row r="142" spans="2:14" x14ac:dyDescent="0.2">
      <c r="B142" s="246" t="s">
        <v>335</v>
      </c>
      <c r="C142" s="12"/>
      <c r="D142" s="242">
        <f>-(D132+D137)*'Assumptions-Retail'!$Q$9</f>
        <v>0</v>
      </c>
      <c r="E142" s="242">
        <f>-(E132+E137)*'Assumptions-Retail'!$Q$9</f>
        <v>0</v>
      </c>
      <c r="F142" s="242">
        <f>-(F132+F137)*'Assumptions-Retail'!$Q$9</f>
        <v>0</v>
      </c>
      <c r="G142" s="242">
        <f>-(G132+G137)*'Assumptions-Retail'!$Q$9</f>
        <v>0</v>
      </c>
      <c r="H142" s="242">
        <f>-(H132+H137)*'Assumptions-Retail'!$Q$9</f>
        <v>0</v>
      </c>
      <c r="I142" s="242">
        <f>-(I132+I137)*'Assumptions-Retail'!$Q$9</f>
        <v>0</v>
      </c>
      <c r="J142" s="242">
        <f>-(J132+J137)*'Assumptions-Retail'!$Q$9</f>
        <v>0</v>
      </c>
      <c r="K142" s="242">
        <f>-(K132+K137)*'Assumptions-Retail'!$Q$9</f>
        <v>0</v>
      </c>
      <c r="L142" s="242">
        <f>-(L132+L137)*'Assumptions-Retail'!$Q$9</f>
        <v>-361342.83411050332</v>
      </c>
      <c r="M142" s="242">
        <f>-(M132+M137)*'Assumptions-Retail'!$Q$9</f>
        <v>-372183.11913381849</v>
      </c>
      <c r="N142" s="247">
        <f>-(N132+N137)*'Assumptions-Retail'!$Q$9</f>
        <v>-383348.61270783306</v>
      </c>
    </row>
    <row r="143" spans="2:14" x14ac:dyDescent="0.2">
      <c r="B143" s="246" t="s">
        <v>304</v>
      </c>
      <c r="C143" s="12"/>
      <c r="D143" s="240">
        <f>-(C132=0)*((D132+D137)*'Assumptions-Retail'!$Q$10+SUM('CashFlow-Retail'!D142))</f>
        <v>0</v>
      </c>
      <c r="E143" s="240">
        <f>-(D132=0)*((E132+E137)*'Assumptions-Retail'!$Q$10+SUM('CashFlow-Retail'!E142))</f>
        <v>0</v>
      </c>
      <c r="F143" s="240">
        <f>-(E132=0)*((F132+F137)*'Assumptions-Retail'!$Q$10+SUM('CashFlow-Retail'!F142))</f>
        <v>0</v>
      </c>
      <c r="G143" s="240">
        <f>-(F132=0)*((G132+G137)*'Assumptions-Retail'!$Q$10+SUM('CashFlow-Retail'!G142))</f>
        <v>0</v>
      </c>
      <c r="H143" s="240">
        <f>-(G132=0)*((H132+H137)*'Assumptions-Retail'!$Q$10+SUM('CashFlow-Retail'!H142))</f>
        <v>0</v>
      </c>
      <c r="I143" s="240">
        <f>-(H132=0)*((I132+I137)*'Assumptions-Retail'!$Q$10+SUM('CashFlow-Retail'!I142))</f>
        <v>0</v>
      </c>
      <c r="J143" s="240">
        <f>-(I132=0)*((J132+J137)*'Assumptions-Retail'!$Q$10+SUM('CashFlow-Retail'!J142))</f>
        <v>0</v>
      </c>
      <c r="K143" s="240">
        <f>-(J132=0)*((K132+K137)*'Assumptions-Retail'!$Q$10+SUM('CashFlow-Retail'!K142))</f>
        <v>0</v>
      </c>
      <c r="L143" s="240">
        <f>-(K132=0)*((L132+L137)*'Assumptions-Retail'!$Q$10+SUM('CashFlow-Retail'!L142))</f>
        <v>-1806714.1705525166</v>
      </c>
      <c r="M143" s="240">
        <f>-(L132=0)*((M132+M137)*'Assumptions-Retail'!$Q$10+SUM('CashFlow-Retail'!M142))</f>
        <v>0</v>
      </c>
      <c r="N143" s="248">
        <f>-(M132=0)*((N132+N137)*'Assumptions-Retail'!$Q$10+SUM('CashFlow-Retail'!N142))</f>
        <v>0</v>
      </c>
    </row>
    <row r="144" spans="2:14" x14ac:dyDescent="0.2">
      <c r="B144" s="4" t="s">
        <v>305</v>
      </c>
      <c r="C144" s="12"/>
      <c r="D144" s="242">
        <f t="shared" ref="D144:N144" si="85">SUM(D141:D143)</f>
        <v>0</v>
      </c>
      <c r="E144" s="242">
        <f t="shared" si="85"/>
        <v>0</v>
      </c>
      <c r="F144" s="242">
        <f t="shared" si="85"/>
        <v>0</v>
      </c>
      <c r="G144" s="242">
        <f t="shared" si="85"/>
        <v>0</v>
      </c>
      <c r="H144" s="242">
        <f t="shared" si="85"/>
        <v>0</v>
      </c>
      <c r="I144" s="242">
        <f t="shared" si="85"/>
        <v>0</v>
      </c>
      <c r="J144" s="242">
        <f t="shared" si="85"/>
        <v>0</v>
      </c>
      <c r="K144" s="242">
        <f t="shared" si="85"/>
        <v>0</v>
      </c>
      <c r="L144" s="242">
        <f t="shared" si="85"/>
        <v>-2168057.0046630199</v>
      </c>
      <c r="M144" s="242">
        <f t="shared" si="85"/>
        <v>-372183.11913381849</v>
      </c>
      <c r="N144" s="247">
        <f t="shared" si="85"/>
        <v>-383348.61270783306</v>
      </c>
    </row>
    <row r="145" spans="2:14" x14ac:dyDescent="0.2">
      <c r="B145" s="4"/>
      <c r="C145" s="12"/>
      <c r="D145" s="242"/>
      <c r="E145" s="242"/>
      <c r="F145" s="242"/>
      <c r="G145" s="242"/>
      <c r="H145" s="211"/>
      <c r="I145" s="242"/>
      <c r="J145" s="242"/>
      <c r="K145" s="242"/>
      <c r="L145" s="242"/>
      <c r="M145" s="242"/>
      <c r="N145" s="247"/>
    </row>
    <row r="146" spans="2:14" x14ac:dyDescent="0.2">
      <c r="B146" s="4" t="s">
        <v>306</v>
      </c>
      <c r="C146" s="12"/>
      <c r="D146" s="241">
        <f>D133+D138+D144</f>
        <v>0</v>
      </c>
      <c r="E146" s="241">
        <f t="shared" ref="E146:N146" si="86">E133+E138+E144</f>
        <v>0</v>
      </c>
      <c r="F146" s="241">
        <f t="shared" si="86"/>
        <v>0</v>
      </c>
      <c r="G146" s="241">
        <f t="shared" si="86"/>
        <v>0</v>
      </c>
      <c r="H146" s="241">
        <f t="shared" si="86"/>
        <v>0</v>
      </c>
      <c r="I146" s="241">
        <f t="shared" si="86"/>
        <v>0</v>
      </c>
      <c r="J146" s="241">
        <f t="shared" si="86"/>
        <v>0</v>
      </c>
      <c r="K146" s="241">
        <f t="shared" si="86"/>
        <v>0</v>
      </c>
      <c r="L146" s="241">
        <f t="shared" si="86"/>
        <v>7383749.6784107499</v>
      </c>
      <c r="M146" s="241">
        <f t="shared" si="86"/>
        <v>9466177.7644321658</v>
      </c>
      <c r="N146" s="249">
        <f t="shared" si="86"/>
        <v>9750163.0973651297</v>
      </c>
    </row>
    <row r="147" spans="2:14" x14ac:dyDescent="0.2">
      <c r="B147" s="4"/>
      <c r="C147" s="1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7"/>
    </row>
    <row r="148" spans="2:14" x14ac:dyDescent="0.2">
      <c r="B148" s="4" t="s">
        <v>308</v>
      </c>
      <c r="C148" s="12"/>
      <c r="D148" s="242">
        <f>-D119*'Assumptions-Retail'!$Q$14*(1+'Assumptions-Overall'!$C$39)^('CashFlow-Retail'!D$7-1)</f>
        <v>0</v>
      </c>
      <c r="E148" s="242">
        <f>-E119*'Assumptions-Retail'!$Q$14*(1+'Assumptions-Overall'!$C$39)^('CashFlow-Retail'!E$7-1)</f>
        <v>0</v>
      </c>
      <c r="F148" s="242">
        <f>-F119*'Assumptions-Retail'!$Q$14*(1+'Assumptions-Overall'!$C$39)^('CashFlow-Retail'!F$7-1)</f>
        <v>0</v>
      </c>
      <c r="G148" s="242">
        <f>-G119*'Assumptions-Retail'!$Q$14*(1+'Assumptions-Overall'!$C$39)^('CashFlow-Retail'!G$7-1)</f>
        <v>0</v>
      </c>
      <c r="H148" s="242">
        <f>-H119*'Assumptions-Retail'!$Q$14*(1+'Assumptions-Overall'!$C$39)^('CashFlow-Retail'!H$7-1)</f>
        <v>0</v>
      </c>
      <c r="I148" s="242">
        <f>-I119*'Assumptions-Retail'!$Q$14*(1+'Assumptions-Overall'!$C$39)^('CashFlow-Retail'!I$7-1)</f>
        <v>0</v>
      </c>
      <c r="J148" s="242">
        <f>-J119*'Assumptions-Retail'!$Q$14*(1+'Assumptions-Overall'!$C$39)^('CashFlow-Retail'!J$7-1)</f>
        <v>0</v>
      </c>
      <c r="K148" s="242">
        <f>-K119*'Assumptions-Retail'!$Q$14*(1+'Assumptions-Overall'!$C$39)^('CashFlow-Retail'!K$7-1)</f>
        <v>0</v>
      </c>
      <c r="L148" s="242">
        <f>-L119*'Assumptions-Retail'!$Q$14*(1+'Assumptions-Overall'!$C$39)^('CashFlow-Retail'!L$7-1)</f>
        <v>-2425548.0133369374</v>
      </c>
      <c r="M148" s="242">
        <f>-M119*'Assumptions-Retail'!$Q$14*(1+'Assumptions-Overall'!$C$39)^('CashFlow-Retail'!M$7-1)</f>
        <v>-2498314.4537370456</v>
      </c>
      <c r="N148" s="247">
        <f>-N119*'Assumptions-Retail'!$Q$14*(1+'Assumptions-Overall'!$C$39)^('CashFlow-Retail'!N$7-1)</f>
        <v>-2573263.8873491567</v>
      </c>
    </row>
    <row r="149" spans="2:14" x14ac:dyDescent="0.2">
      <c r="B149" s="4"/>
      <c r="C149" s="1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7"/>
    </row>
    <row r="150" spans="2:14" x14ac:dyDescent="0.2">
      <c r="B150" s="4" t="s">
        <v>310</v>
      </c>
      <c r="C150" s="12"/>
      <c r="D150" s="241">
        <f>SUM(D146:D148)</f>
        <v>0</v>
      </c>
      <c r="E150" s="241">
        <f t="shared" ref="E150:N150" si="87">SUM(E146:E148)</f>
        <v>0</v>
      </c>
      <c r="F150" s="241">
        <f t="shared" si="87"/>
        <v>0</v>
      </c>
      <c r="G150" s="241">
        <f t="shared" si="87"/>
        <v>0</v>
      </c>
      <c r="H150" s="241">
        <f t="shared" si="87"/>
        <v>0</v>
      </c>
      <c r="I150" s="241">
        <f t="shared" si="87"/>
        <v>0</v>
      </c>
      <c r="J150" s="241">
        <f t="shared" si="87"/>
        <v>0</v>
      </c>
      <c r="K150" s="241">
        <f t="shared" si="87"/>
        <v>0</v>
      </c>
      <c r="L150" s="241">
        <f t="shared" si="87"/>
        <v>4958201.665073812</v>
      </c>
      <c r="M150" s="241">
        <f t="shared" si="87"/>
        <v>6967863.3106951201</v>
      </c>
      <c r="N150" s="249">
        <f t="shared" si="87"/>
        <v>7176899.2100159731</v>
      </c>
    </row>
    <row r="151" spans="2:14" x14ac:dyDescent="0.2">
      <c r="B151" s="4"/>
      <c r="C151" s="1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55"/>
    </row>
    <row r="152" spans="2:14" x14ac:dyDescent="0.2">
      <c r="B152" s="4" t="s">
        <v>283</v>
      </c>
      <c r="C152" s="12"/>
      <c r="D152" s="242">
        <f>-D119*'Assumptions-Retail'!$Q$16*(1+'Assumptions-Overall'!$C$40)^('CashFlow-Retail'!D$7-1)</f>
        <v>0</v>
      </c>
      <c r="E152" s="242">
        <f>-E119*'Assumptions-Retail'!$Q$16*(1+'Assumptions-Overall'!$C$40)^('CashFlow-Retail'!E$7-1)</f>
        <v>0</v>
      </c>
      <c r="F152" s="242">
        <f>-F119*'Assumptions-Retail'!$Q$16*(1+'Assumptions-Overall'!$C$40)^('CashFlow-Retail'!F$7-1)</f>
        <v>0</v>
      </c>
      <c r="G152" s="242">
        <f>-G119*'Assumptions-Retail'!$Q$16*(1+'Assumptions-Overall'!$C$40)^('CashFlow-Retail'!G$7-1)</f>
        <v>0</v>
      </c>
      <c r="H152" s="242">
        <f>-H119*'Assumptions-Retail'!$Q$16*(1+'Assumptions-Overall'!$C$40)^('CashFlow-Retail'!H$7-1)</f>
        <v>0</v>
      </c>
      <c r="I152" s="242">
        <f>-I119*'Assumptions-Retail'!$Q$16*(1+'Assumptions-Overall'!$C$40)^('CashFlow-Retail'!I$7-1)</f>
        <v>0</v>
      </c>
      <c r="J152" s="242">
        <f>-J119*'Assumptions-Retail'!$Q$16*(1+'Assumptions-Overall'!$C$40)^('CashFlow-Retail'!J$7-1)</f>
        <v>0</v>
      </c>
      <c r="K152" s="242">
        <f>-K119*'Assumptions-Retail'!$Q$16*(1+'Assumptions-Overall'!$C$40)^('CashFlow-Retail'!K$7-1)</f>
        <v>0</v>
      </c>
      <c r="L152" s="242">
        <f>-L119*'Assumptions-Retail'!$Q$16*(1+'Assumptions-Overall'!$C$40)^('CashFlow-Retail'!L$7-1)</f>
        <v>-26950.533481521528</v>
      </c>
      <c r="M152" s="242">
        <f>-M119*'Assumptions-Retail'!$Q$16*(1+'Assumptions-Overall'!$C$40)^('CashFlow-Retail'!M$7-1)</f>
        <v>-27759.049485967174</v>
      </c>
      <c r="N152" s="247"/>
    </row>
    <row r="153" spans="2:14" x14ac:dyDescent="0.2">
      <c r="B153" s="4"/>
      <c r="C153" s="1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7"/>
    </row>
    <row r="154" spans="2:14" x14ac:dyDescent="0.2">
      <c r="B154" s="4" t="s">
        <v>309</v>
      </c>
      <c r="C154" s="12"/>
      <c r="D154" s="241">
        <f>SUM(D150:D152)</f>
        <v>0</v>
      </c>
      <c r="E154" s="241">
        <f t="shared" ref="E154:M154" si="88">SUM(E150:E152)</f>
        <v>0</v>
      </c>
      <c r="F154" s="241">
        <f t="shared" si="88"/>
        <v>0</v>
      </c>
      <c r="G154" s="241">
        <f t="shared" si="88"/>
        <v>0</v>
      </c>
      <c r="H154" s="241">
        <f t="shared" si="88"/>
        <v>0</v>
      </c>
      <c r="I154" s="241">
        <f t="shared" si="88"/>
        <v>0</v>
      </c>
      <c r="J154" s="241">
        <f t="shared" si="88"/>
        <v>0</v>
      </c>
      <c r="K154" s="241">
        <f t="shared" si="88"/>
        <v>0</v>
      </c>
      <c r="L154" s="241">
        <f t="shared" si="88"/>
        <v>4931251.1315922905</v>
      </c>
      <c r="M154" s="241">
        <f t="shared" si="88"/>
        <v>6940104.2612091526</v>
      </c>
      <c r="N154" s="247"/>
    </row>
    <row r="155" spans="2:14" x14ac:dyDescent="0.2">
      <c r="B155" s="4"/>
      <c r="C155" s="1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7"/>
    </row>
    <row r="156" spans="2:14" x14ac:dyDescent="0.2">
      <c r="B156" s="53" t="s">
        <v>209</v>
      </c>
      <c r="C156" s="1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7"/>
    </row>
    <row r="157" spans="2:14" x14ac:dyDescent="0.2">
      <c r="B157" s="4" t="s">
        <v>311</v>
      </c>
      <c r="C157" s="12"/>
      <c r="D157" s="242">
        <f>-(AND(D$8&gt;=YEAR(PhaseIIIConBegin),D$8&lt;=YEAR(PhaseIIIConEnd)))*SUM($D120:$N120)*(SUM($N123:$N125)/$N119*'Assumptions-Overall'!$M$16+(SUM('CashFlow-Retail'!$N126:$N127)/'CashFlow-Retail'!$N$11*'Assumptions-Overall'!$M$17)*(1+'Assumptions-Overall'!$C$41)^('CashFlow-Retail'!D$7-1)/(YEAR(PhaseIIIConEnd)-YEAR(PhaseIIIConBegin)+1))</f>
        <v>0</v>
      </c>
      <c r="E157" s="242">
        <f>-(AND(E$8&gt;=YEAR(PhaseIIIConBegin),E$8&lt;=YEAR(PhaseIIIConEnd)))*SUM($D120:$N120)*(SUM($N123:$N125)/$N119*'Assumptions-Overall'!$M$16+(SUM('CashFlow-Retail'!$N126:$N127)/'CashFlow-Retail'!$N$11*'Assumptions-Overall'!$M$17)*(1+'Assumptions-Overall'!$C$41)^('CashFlow-Retail'!E$7-1)/(YEAR(PhaseIIIConEnd)-YEAR(PhaseIIIConBegin)+1))</f>
        <v>0</v>
      </c>
      <c r="F157" s="242">
        <f>-(AND(F$8&gt;=YEAR(PhaseIIIConBegin),F$8&lt;=YEAR(PhaseIIIConEnd)))*SUM($D120:$N120)*(SUM($N123:$N125)/$N119*'Assumptions-Overall'!$M$16+(SUM('CashFlow-Retail'!$N126:$N127)/'CashFlow-Retail'!$N$11*'Assumptions-Overall'!$M$17)*(1+'Assumptions-Overall'!$C$41)^('CashFlow-Retail'!F$7-1)/(YEAR(PhaseIIIConEnd)-YEAR(PhaseIIIConBegin)+1))</f>
        <v>0</v>
      </c>
      <c r="G157" s="242">
        <f>-(AND(G$8&gt;=YEAR(PhaseIIIConBegin),G$8&lt;=YEAR(PhaseIIIConEnd)))*SUM($D120:$N120)*(SUM($N123:$N125)/$N119*'Assumptions-Overall'!$M$16+(SUM('CashFlow-Retail'!$N126:$N127)/'CashFlow-Retail'!$N$11*'Assumptions-Overall'!$M$17)*(1+'Assumptions-Overall'!$C$41)^('CashFlow-Retail'!G$7-1)/(YEAR(PhaseIIIConEnd)-YEAR(PhaseIIIConBegin)+1))</f>
        <v>0</v>
      </c>
      <c r="H157" s="242">
        <f>-(AND(H$8&gt;=YEAR(PhaseIIIConBegin),H$8&lt;=YEAR(PhaseIIIConEnd)))*SUM($D120:$N120)*(SUM($N123:$N125)/$N119*'Assumptions-Overall'!$M$16+(SUM('CashFlow-Retail'!$N126:$N127)/'CashFlow-Retail'!$N$11*'Assumptions-Overall'!$M$17)*(1+'Assumptions-Overall'!$C$41)^('CashFlow-Retail'!H$7-1)/(YEAR(PhaseIIIConEnd)-YEAR(PhaseIIIConBegin)+1))</f>
        <v>0</v>
      </c>
      <c r="I157" s="242">
        <f>-(AND(I$8&gt;=YEAR(PhaseIIIConBegin),I$8&lt;=YEAR(PhaseIIIConEnd)))*SUM($D120:$N120)*(SUM($N123:$N125)/$N119*'Assumptions-Overall'!$M$16+(SUM('CashFlow-Retail'!$N126:$N127)/'CashFlow-Retail'!$N$11*'Assumptions-Overall'!$M$17)*(1+'Assumptions-Overall'!$C$41)^('CashFlow-Retail'!I$7-1)/(YEAR(PhaseIIIConEnd)-YEAR(PhaseIIIConBegin)+1))</f>
        <v>0</v>
      </c>
      <c r="J157" s="242">
        <f>-(AND(J$8&gt;=YEAR(PhaseIIIConBegin),J$8&lt;=YEAR(PhaseIIIConEnd)))*SUM($D120:$N120)*(SUM($N123:$N125)/$N119*'Assumptions-Overall'!$M$16+(SUM('CashFlow-Retail'!$N126:$N127)/'CashFlow-Retail'!$N$11*'Assumptions-Overall'!$M$17)*(1+'Assumptions-Overall'!$C$41)^('CashFlow-Retail'!J$7-1)/(YEAR(PhaseIIIConEnd)-YEAR(PhaseIIIConBegin)+1))</f>
        <v>-34541692.602563411</v>
      </c>
      <c r="K157" s="242">
        <f>-(AND(K$8&gt;=YEAR(PhaseIIIConBegin),K$8&lt;=YEAR(PhaseIIIConEnd)))*SUM($D120:$N120)*(SUM($N123:$N125)/$N119*'Assumptions-Overall'!$M$16+(SUM('CashFlow-Retail'!$N126:$N127)/'CashFlow-Retail'!$N$11*'Assumptions-Overall'!$M$17)*(1+'Assumptions-Overall'!$C$41)^('CashFlow-Retail'!K$7-1)/(YEAR(PhaseIIIConEnd)-YEAR(PhaseIIIConBegin)+1))</f>
        <v>-35372817.480640315</v>
      </c>
      <c r="L157" s="242">
        <f>-(AND(L$8&gt;=YEAR(PhaseIIIConBegin),L$8&lt;=YEAR(PhaseIIIConEnd)))*SUM($D120:$N120)*(SUM($N123:$N125)/$N119*'Assumptions-Overall'!$M$16+(SUM('CashFlow-Retail'!$N126:$N127)/'CashFlow-Retail'!$N$11*'Assumptions-Overall'!$M$17)*(1+'Assumptions-Overall'!$C$41)^('CashFlow-Retail'!L$7-1)/(YEAR(PhaseIIIConEnd)-YEAR(PhaseIIIConBegin)+1))</f>
        <v>0</v>
      </c>
      <c r="M157" s="242">
        <f>-(AND(M$8&gt;=YEAR(PhaseIIIConBegin),M$8&lt;=YEAR(PhaseIIIConEnd)))*SUM($D120:$N120)*(SUM($N123:$N125)/$N119*'Assumptions-Overall'!$M$16+(SUM('CashFlow-Retail'!$N126:$N127)/'CashFlow-Retail'!$N$11*'Assumptions-Overall'!$M$17)*(1+'Assumptions-Overall'!$C$41)^('CashFlow-Retail'!M$7-1)/(YEAR(PhaseIIIConEnd)-YEAR(PhaseIIIConBegin)+1))</f>
        <v>0</v>
      </c>
      <c r="N157" s="247"/>
    </row>
    <row r="158" spans="2:14" x14ac:dyDescent="0.2">
      <c r="B158" s="4" t="s">
        <v>312</v>
      </c>
      <c r="C158" s="12"/>
      <c r="D158" s="242">
        <f>(AND(D$8&gt;=YEAR(PhaseIIIPreconBegin),D$8&lt;=YEAR(PhaseIIIConEnd)))*SUM($D157:$N157)*'Assumptions-Overall'!$H$43/(YEAR(PhaseIIIConEnd)-YEAR(PhaseIIIPreconBegin)+1)</f>
        <v>0</v>
      </c>
      <c r="E158" s="242">
        <f>(AND(E$8&gt;=YEAR(PhaseIIIPreconBegin),E$8&lt;=YEAR(PhaseIIIConEnd)))*SUM($D157:$N157)*'Assumptions-Overall'!$H$43/(YEAR(PhaseIIIConEnd)-YEAR(PhaseIIIPreconBegin)+1)</f>
        <v>0</v>
      </c>
      <c r="F158" s="242">
        <f>(AND(F$8&gt;=YEAR(PhaseIIIPreconBegin),F$8&lt;=YEAR(PhaseIIIConEnd)))*SUM($D157:$N157)*'Assumptions-Overall'!$H$43/(YEAR(PhaseIIIConEnd)-YEAR(PhaseIIIPreconBegin)+1)</f>
        <v>0</v>
      </c>
      <c r="G158" s="242">
        <f>(AND(G$8&gt;=YEAR(PhaseIIIPreconBegin),G$8&lt;=YEAR(PhaseIIIConEnd)))*SUM($D157:$N157)*'Assumptions-Overall'!$H$43/(YEAR(PhaseIIIConEnd)-YEAR(PhaseIIIPreconBegin)+1)</f>
        <v>0</v>
      </c>
      <c r="H158" s="242">
        <f>(AND(H$8&gt;=YEAR(PhaseIIIPreconBegin),H$8&lt;=YEAR(PhaseIIIConEnd)))*SUM($D157:$N157)*'Assumptions-Overall'!$H$43/(YEAR(PhaseIIIConEnd)-YEAR(PhaseIIIPreconBegin)+1)</f>
        <v>-1048717.651248056</v>
      </c>
      <c r="I158" s="242">
        <f>(AND(I$8&gt;=YEAR(PhaseIIIPreconBegin),I$8&lt;=YEAR(PhaseIIIConEnd)))*SUM($D157:$N157)*'Assumptions-Overall'!$H$43/(YEAR(PhaseIIIConEnd)-YEAR(PhaseIIIPreconBegin)+1)</f>
        <v>-1048717.651248056</v>
      </c>
      <c r="J158" s="242">
        <f>(AND(J$8&gt;=YEAR(PhaseIIIPreconBegin),J$8&lt;=YEAR(PhaseIIIConEnd)))*SUM($D157:$N157)*'Assumptions-Overall'!$H$43/(YEAR(PhaseIIIConEnd)-YEAR(PhaseIIIPreconBegin)+1)</f>
        <v>-1048717.651248056</v>
      </c>
      <c r="K158" s="242">
        <f>(AND(K$8&gt;=YEAR(PhaseIIIPreconBegin),K$8&lt;=YEAR(PhaseIIIConEnd)))*SUM($D157:$N157)*'Assumptions-Overall'!$H$43/(YEAR(PhaseIIIConEnd)-YEAR(PhaseIIIPreconBegin)+1)</f>
        <v>-1048717.651248056</v>
      </c>
      <c r="L158" s="242">
        <f>(AND(L$8&gt;=YEAR(PhaseIIIPreconBegin),L$8&lt;=YEAR(PhaseIIIConEnd)))*SUM($D157:$N157)*'Assumptions-Overall'!$H$43/(YEAR(PhaseIIIConEnd)-YEAR(PhaseIIIPreconBegin)+1)</f>
        <v>0</v>
      </c>
      <c r="M158" s="242">
        <f>(AND(M$8&gt;=YEAR(PhaseIIIPreconBegin),M$8&lt;=YEAR(PhaseIIIConEnd)))*SUM($D157:$N157)*'Assumptions-Overall'!$H$43/(YEAR(PhaseIIIConEnd)-YEAR(PhaseIIIPreconBegin)+1)</f>
        <v>0</v>
      </c>
      <c r="N158" s="247"/>
    </row>
    <row r="159" spans="2:14" x14ac:dyDescent="0.2">
      <c r="B159" s="4" t="s">
        <v>183</v>
      </c>
      <c r="C159" s="12"/>
      <c r="D159" s="242">
        <f>(AND(D$8&gt;=YEAR(PhaseIIIPreconBegin),D$8&lt;=YEAR(PhaseIIIConEnd)))*SUM($D157:$N157)*'Assumptions-Overall'!$H$44/(YEAR(PhaseIIIConEnd)-YEAR(PhaseIIIPreconBegin)+1)</f>
        <v>0</v>
      </c>
      <c r="E159" s="242">
        <f>(AND(E$8&gt;=YEAR(PhaseIIIPreconBegin),E$8&lt;=YEAR(PhaseIIIConEnd)))*SUM($D157:$N157)*'Assumptions-Overall'!$H$44/(YEAR(PhaseIIIConEnd)-YEAR(PhaseIIIPreconBegin)+1)</f>
        <v>0</v>
      </c>
      <c r="F159" s="242">
        <f>(AND(F$8&gt;=YEAR(PhaseIIIPreconBegin),F$8&lt;=YEAR(PhaseIIIConEnd)))*SUM($D157:$N157)*'Assumptions-Overall'!$H$44/(YEAR(PhaseIIIConEnd)-YEAR(PhaseIIIPreconBegin)+1)</f>
        <v>0</v>
      </c>
      <c r="G159" s="242">
        <f>(AND(G$8&gt;=YEAR(PhaseIIIPreconBegin),G$8&lt;=YEAR(PhaseIIIConEnd)))*SUM($D157:$N157)*'Assumptions-Overall'!$H$44/(YEAR(PhaseIIIConEnd)-YEAR(PhaseIIIPreconBegin)+1)</f>
        <v>0</v>
      </c>
      <c r="H159" s="242">
        <f>(AND(H$8&gt;=YEAR(PhaseIIIPreconBegin),H$8&lt;=YEAR(PhaseIIIConEnd)))*SUM($D157:$N157)*'Assumptions-Overall'!$H$44/(YEAR(PhaseIIIConEnd)-YEAR(PhaseIIIPreconBegin)+1)</f>
        <v>-2621794.1281201397</v>
      </c>
      <c r="I159" s="242">
        <f>(AND(I$8&gt;=YEAR(PhaseIIIPreconBegin),I$8&lt;=YEAR(PhaseIIIConEnd)))*SUM($D157:$N157)*'Assumptions-Overall'!$H$44/(YEAR(PhaseIIIConEnd)-YEAR(PhaseIIIPreconBegin)+1)</f>
        <v>-2621794.1281201397</v>
      </c>
      <c r="J159" s="242">
        <f>(AND(J$8&gt;=YEAR(PhaseIIIPreconBegin),J$8&lt;=YEAR(PhaseIIIConEnd)))*SUM($D157:$N157)*'Assumptions-Overall'!$H$44/(YEAR(PhaseIIIConEnd)-YEAR(PhaseIIIPreconBegin)+1)</f>
        <v>-2621794.1281201397</v>
      </c>
      <c r="K159" s="242">
        <f>(AND(K$8&gt;=YEAR(PhaseIIIPreconBegin),K$8&lt;=YEAR(PhaseIIIConEnd)))*SUM($D157:$N157)*'Assumptions-Overall'!$H$44/(YEAR(PhaseIIIConEnd)-YEAR(PhaseIIIPreconBegin)+1)</f>
        <v>-2621794.1281201397</v>
      </c>
      <c r="L159" s="242">
        <f>(AND(L$8&gt;=YEAR(PhaseIIIPreconBegin),L$8&lt;=YEAR(PhaseIIIConEnd)))*SUM($D157:$N157)*'Assumptions-Overall'!$H$44/(YEAR(PhaseIIIConEnd)-YEAR(PhaseIIIPreconBegin)+1)</f>
        <v>0</v>
      </c>
      <c r="M159" s="242">
        <f>(AND(M$8&gt;=YEAR(PhaseIIIPreconBegin),M$8&lt;=YEAR(PhaseIIIConEnd)))*SUM($D157:$N157)*'Assumptions-Overall'!$H$44/(YEAR(PhaseIIIConEnd)-YEAR(PhaseIIIPreconBegin)+1)</f>
        <v>0</v>
      </c>
      <c r="N159" s="247"/>
    </row>
    <row r="160" spans="2:14" x14ac:dyDescent="0.2">
      <c r="B160" s="4" t="s">
        <v>184</v>
      </c>
      <c r="C160" s="12"/>
      <c r="D160" s="240">
        <f>SUM(D157:D159)*'Assumptions-Overall'!$H$45</f>
        <v>0</v>
      </c>
      <c r="E160" s="240">
        <f>SUM(E157:E159)*'Assumptions-Overall'!$H$45</f>
        <v>0</v>
      </c>
      <c r="F160" s="240">
        <f>SUM(F157:F159)*'Assumptions-Overall'!$H$45</f>
        <v>0</v>
      </c>
      <c r="G160" s="240">
        <f>SUM(G157:G159)*'Assumptions-Overall'!$H$45</f>
        <v>0</v>
      </c>
      <c r="H160" s="240">
        <f>SUM(H157:H159)*'Assumptions-Overall'!$H$45</f>
        <v>-110115.35338104586</v>
      </c>
      <c r="I160" s="240">
        <f>SUM(I157:I159)*'Assumptions-Overall'!$H$45</f>
        <v>-110115.35338104586</v>
      </c>
      <c r="J160" s="240">
        <f>SUM(J157:J159)*'Assumptions-Overall'!$H$45</f>
        <v>-1146366.1314579481</v>
      </c>
      <c r="K160" s="240">
        <f>SUM(K157:K159)*'Assumptions-Overall'!$H$45</f>
        <v>-1171299.8778002551</v>
      </c>
      <c r="L160" s="240">
        <f>SUM(L157:L159)*'Assumptions-Overall'!$H$45</f>
        <v>0</v>
      </c>
      <c r="M160" s="240">
        <f>SUM(M157:M159)*'Assumptions-Overall'!$H$45</f>
        <v>0</v>
      </c>
      <c r="N160" s="247"/>
    </row>
    <row r="161" spans="2:14" x14ac:dyDescent="0.2">
      <c r="B161" s="4" t="s">
        <v>313</v>
      </c>
      <c r="C161" s="12"/>
      <c r="D161" s="242">
        <f>SUM(D157:D160)</f>
        <v>0</v>
      </c>
      <c r="E161" s="242">
        <f t="shared" ref="E161" si="89">SUM(E157:E160)</f>
        <v>0</v>
      </c>
      <c r="F161" s="242">
        <f t="shared" ref="F161" si="90">SUM(F157:F160)</f>
        <v>0</v>
      </c>
      <c r="G161" s="242">
        <f t="shared" ref="G161" si="91">SUM(G157:G160)</f>
        <v>0</v>
      </c>
      <c r="H161" s="242">
        <f t="shared" ref="H161" si="92">SUM(H157:H160)</f>
        <v>-3780627.1327492418</v>
      </c>
      <c r="I161" s="242">
        <f t="shared" ref="I161" si="93">SUM(I157:I160)</f>
        <v>-3780627.1327492418</v>
      </c>
      <c r="J161" s="242">
        <f t="shared" ref="J161" si="94">SUM(J157:J160)</f>
        <v>-39358570.51338955</v>
      </c>
      <c r="K161" s="242">
        <f t="shared" ref="K161" si="95">SUM(K157:K160)</f>
        <v>-40214629.137808762</v>
      </c>
      <c r="L161" s="242">
        <f t="shared" ref="L161" si="96">SUM(L157:L160)</f>
        <v>0</v>
      </c>
      <c r="M161" s="242">
        <f t="shared" ref="M161" si="97">SUM(M157:M160)</f>
        <v>0</v>
      </c>
      <c r="N161" s="247"/>
    </row>
    <row r="162" spans="2:14" x14ac:dyDescent="0.2">
      <c r="B162" s="4"/>
      <c r="C162" s="1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7"/>
    </row>
    <row r="163" spans="2:14" x14ac:dyDescent="0.2">
      <c r="B163" s="53" t="s">
        <v>314</v>
      </c>
      <c r="C163" s="1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7"/>
    </row>
    <row r="164" spans="2:14" x14ac:dyDescent="0.2">
      <c r="B164" s="4" t="s">
        <v>316</v>
      </c>
      <c r="C164" s="12"/>
      <c r="D164" s="242">
        <f>(D$8=YEAR('Assumptions-Overall'!$C$30))*E150/'Assumptions-Overall'!$Y$9</f>
        <v>0</v>
      </c>
      <c r="E164" s="242">
        <f>(E$8=YEAR('Assumptions-Overall'!$C$30))*F150/'Assumptions-Overall'!$Y$9</f>
        <v>0</v>
      </c>
      <c r="F164" s="242">
        <f>(F$8=YEAR('Assumptions-Overall'!$C$30))*G150/'Assumptions-Overall'!$Y$9</f>
        <v>0</v>
      </c>
      <c r="G164" s="242">
        <f>(G$8=YEAR('Assumptions-Overall'!$C$30))*H150/'Assumptions-Overall'!$Y$9</f>
        <v>0</v>
      </c>
      <c r="H164" s="242">
        <f>(H$8=YEAR('Assumptions-Overall'!$C$30))*I150/'Assumptions-Overall'!$Y$9</f>
        <v>0</v>
      </c>
      <c r="I164" s="242">
        <f>(I$8=YEAR('Assumptions-Overall'!$C$30))*J150/'Assumptions-Overall'!$Y$9</f>
        <v>0</v>
      </c>
      <c r="J164" s="242">
        <f>(J$8=YEAR('Assumptions-Overall'!$C$30))*K150/'Assumptions-Overall'!$Y$9</f>
        <v>0</v>
      </c>
      <c r="K164" s="242">
        <f>(K$8=YEAR('Assumptions-Overall'!$C$30))*L150/'Assumptions-Overall'!$Y$9</f>
        <v>0</v>
      </c>
      <c r="L164" s="242">
        <f>(L$8=YEAR('Assumptions-Overall'!$C$30))*M150/'Assumptions-Overall'!$Y$9</f>
        <v>0</v>
      </c>
      <c r="M164" s="242">
        <f>(M$8=YEAR('Assumptions-Overall'!$C$30))*N150/'Assumptions-Overall'!$Y$13</f>
        <v>159486649.11146605</v>
      </c>
      <c r="N164" s="247"/>
    </row>
    <row r="165" spans="2:14" x14ac:dyDescent="0.2">
      <c r="B165" s="4" t="s">
        <v>317</v>
      </c>
      <c r="C165" s="12"/>
      <c r="D165" s="240">
        <f>-D164*'Assumptions-Overall'!$U$27</f>
        <v>0</v>
      </c>
      <c r="E165" s="240">
        <f>-E164*'Assumptions-Overall'!$U$27</f>
        <v>0</v>
      </c>
      <c r="F165" s="240">
        <f>-F164*'Assumptions-Overall'!$U$27</f>
        <v>0</v>
      </c>
      <c r="G165" s="240">
        <f>-G164*'Assumptions-Overall'!$U$27</f>
        <v>0</v>
      </c>
      <c r="H165" s="240">
        <f>-H164*'Assumptions-Overall'!$U$27</f>
        <v>0</v>
      </c>
      <c r="I165" s="240">
        <f>-I164*'Assumptions-Overall'!$U$27</f>
        <v>0</v>
      </c>
      <c r="J165" s="240">
        <f>-J164*'Assumptions-Overall'!$U$27</f>
        <v>0</v>
      </c>
      <c r="K165" s="240">
        <f>-K164*'Assumptions-Overall'!$U$27</f>
        <v>0</v>
      </c>
      <c r="L165" s="240">
        <f>-L164*'Assumptions-Overall'!$U$27</f>
        <v>0</v>
      </c>
      <c r="M165" s="240">
        <f>-M164*'Assumptions-Overall'!$U$27</f>
        <v>-1594866.4911146606</v>
      </c>
      <c r="N165" s="247"/>
    </row>
    <row r="166" spans="2:14" x14ac:dyDescent="0.2">
      <c r="B166" s="4" t="s">
        <v>318</v>
      </c>
      <c r="C166" s="12"/>
      <c r="D166" s="242">
        <f>SUM(D164:D165)</f>
        <v>0</v>
      </c>
      <c r="E166" s="242">
        <f t="shared" ref="E166" si="98">SUM(E164:E165)</f>
        <v>0</v>
      </c>
      <c r="F166" s="242">
        <f t="shared" ref="F166" si="99">SUM(F164:F165)</f>
        <v>0</v>
      </c>
      <c r="G166" s="242">
        <f t="shared" ref="G166" si="100">SUM(G164:G165)</f>
        <v>0</v>
      </c>
      <c r="H166" s="242">
        <f t="shared" ref="H166" si="101">SUM(H164:H165)</f>
        <v>0</v>
      </c>
      <c r="I166" s="242">
        <f t="shared" ref="I166" si="102">SUM(I164:I165)</f>
        <v>0</v>
      </c>
      <c r="J166" s="242">
        <f t="shared" ref="J166" si="103">SUM(J164:J165)</f>
        <v>0</v>
      </c>
      <c r="K166" s="242">
        <f t="shared" ref="K166" si="104">SUM(K164:K165)</f>
        <v>0</v>
      </c>
      <c r="L166" s="242">
        <f t="shared" ref="L166" si="105">SUM(L164:L165)</f>
        <v>0</v>
      </c>
      <c r="M166" s="242">
        <f t="shared" ref="M166" si="106">SUM(M164:M165)</f>
        <v>157891782.6203514</v>
      </c>
      <c r="N166" s="247"/>
    </row>
    <row r="167" spans="2:14" x14ac:dyDescent="0.2">
      <c r="B167" s="4"/>
      <c r="C167" s="1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7"/>
    </row>
    <row r="168" spans="2:14" x14ac:dyDescent="0.2">
      <c r="B168" s="4" t="s">
        <v>315</v>
      </c>
      <c r="C168" s="12"/>
      <c r="D168" s="242">
        <f t="shared" ref="D168:M168" si="107">D154+D161+D166</f>
        <v>0</v>
      </c>
      <c r="E168" s="242">
        <f t="shared" si="107"/>
        <v>0</v>
      </c>
      <c r="F168" s="242">
        <f t="shared" si="107"/>
        <v>0</v>
      </c>
      <c r="G168" s="242">
        <f t="shared" si="107"/>
        <v>0</v>
      </c>
      <c r="H168" s="242">
        <f t="shared" si="107"/>
        <v>-3780627.1327492418</v>
      </c>
      <c r="I168" s="242">
        <f t="shared" si="107"/>
        <v>-3780627.1327492418</v>
      </c>
      <c r="J168" s="242">
        <f t="shared" si="107"/>
        <v>-39358570.51338955</v>
      </c>
      <c r="K168" s="242">
        <f t="shared" si="107"/>
        <v>-40214629.137808762</v>
      </c>
      <c r="L168" s="242">
        <f t="shared" si="107"/>
        <v>4931251.1315922905</v>
      </c>
      <c r="M168" s="242">
        <f t="shared" si="107"/>
        <v>164831886.88156056</v>
      </c>
      <c r="N168" s="247"/>
    </row>
    <row r="169" spans="2:14" x14ac:dyDescent="0.2">
      <c r="B169" s="4" t="s">
        <v>320</v>
      </c>
      <c r="C169" s="254">
        <f>IFERROR(IRR(D168:M168),"n/a")</f>
        <v>0.27886679540196457</v>
      </c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7"/>
    </row>
    <row r="170" spans="2:14" ht="12.75" thickBot="1" x14ac:dyDescent="0.25">
      <c r="B170" s="6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6"/>
    </row>
    <row r="172" spans="2:14" x14ac:dyDescent="0.2">
      <c r="B172" s="1" t="s">
        <v>407</v>
      </c>
      <c r="D172" s="285">
        <f>D168+D114+D60</f>
        <v>-497026.12306109699</v>
      </c>
      <c r="E172" s="285">
        <f t="shared" ref="E172:M172" si="108">E168+E114+E60</f>
        <v>-497026.12306109699</v>
      </c>
      <c r="F172" s="285">
        <f t="shared" si="108"/>
        <v>-7296587.1502230763</v>
      </c>
      <c r="G172" s="285">
        <f t="shared" si="108"/>
        <v>-7436495.9814858753</v>
      </c>
      <c r="H172" s="285">
        <f t="shared" si="108"/>
        <v>-24572229.651334058</v>
      </c>
      <c r="I172" s="285">
        <f t="shared" si="108"/>
        <v>-23806089.337326687</v>
      </c>
      <c r="J172" s="285">
        <f t="shared" si="108"/>
        <v>-33015510.996025279</v>
      </c>
      <c r="K172" s="285">
        <f t="shared" si="108"/>
        <v>-33297529.839590915</v>
      </c>
      <c r="L172" s="285">
        <f t="shared" si="108"/>
        <v>12055863.408756671</v>
      </c>
      <c r="M172" s="285">
        <f t="shared" si="108"/>
        <v>339225096.33777559</v>
      </c>
    </row>
    <row r="173" spans="2:14" x14ac:dyDescent="0.2">
      <c r="B173" s="1" t="s">
        <v>408</v>
      </c>
      <c r="C173" s="286">
        <f>IRR(D172:M172)</f>
        <v>0.28048559748997293</v>
      </c>
    </row>
  </sheetData>
  <mergeCells count="2">
    <mergeCell ref="B2:C2"/>
    <mergeCell ref="B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6525-916F-4D8B-A63B-3024B4FCF9AA}">
  <sheetPr>
    <tabColor theme="8" tint="0.39997558519241921"/>
  </sheetPr>
  <dimension ref="B1:S14"/>
  <sheetViews>
    <sheetView workbookViewId="0">
      <selection activeCell="K6" sqref="K6:P11"/>
    </sheetView>
    <sheetView workbookViewId="1"/>
  </sheetViews>
  <sheetFormatPr defaultRowHeight="12" x14ac:dyDescent="0.2"/>
  <cols>
    <col min="1" max="1" width="2.85546875" style="1" customWidth="1"/>
    <col min="2" max="2" width="25.28515625" style="1" bestFit="1" customWidth="1"/>
    <col min="3" max="3" width="9.140625" style="1"/>
    <col min="4" max="5" width="7.7109375" style="1" bestFit="1" customWidth="1"/>
    <col min="6" max="6" width="7.85546875" style="1" bestFit="1" customWidth="1"/>
    <col min="7" max="7" width="2.85546875" style="1" customWidth="1"/>
    <col min="8" max="8" width="19.28515625" style="1" bestFit="1" customWidth="1"/>
    <col min="9" max="9" width="14.5703125" style="1" bestFit="1" customWidth="1"/>
    <col min="10" max="10" width="2.85546875" style="1" customWidth="1"/>
    <col min="11" max="11" width="25.28515625" style="1" bestFit="1" customWidth="1"/>
    <col min="12" max="15" width="8.5703125" style="1" customWidth="1"/>
    <col min="16" max="16" width="7.42578125" style="1" bestFit="1" customWidth="1"/>
    <col min="17" max="17" width="2.85546875" style="1" customWidth="1"/>
    <col min="18" max="18" width="19.140625" style="1" bestFit="1" customWidth="1"/>
    <col min="19" max="19" width="9.5703125" style="1" bestFit="1" customWidth="1"/>
    <col min="20" max="16384" width="9.140625" style="1"/>
  </cols>
  <sheetData>
    <row r="1" spans="2:19" ht="12.75" thickBot="1" x14ac:dyDescent="0.25"/>
    <row r="2" spans="2:19" x14ac:dyDescent="0.2">
      <c r="B2" s="417" t="s">
        <v>59</v>
      </c>
      <c r="C2" s="418"/>
    </row>
    <row r="3" spans="2:19" x14ac:dyDescent="0.2">
      <c r="B3" s="4" t="s">
        <v>58</v>
      </c>
      <c r="C3" s="5" t="str">
        <f>ProjectName</f>
        <v>Montage</v>
      </c>
    </row>
    <row r="4" spans="2:19" ht="12.75" thickBot="1" x14ac:dyDescent="0.25">
      <c r="B4" s="6" t="s">
        <v>56</v>
      </c>
      <c r="C4" s="7">
        <f>TeamNumber</f>
        <v>181430</v>
      </c>
    </row>
    <row r="5" spans="2:19" ht="12.75" thickBot="1" x14ac:dyDescent="0.25"/>
    <row r="6" spans="2:19" x14ac:dyDescent="0.2">
      <c r="B6" s="419" t="s">
        <v>239</v>
      </c>
      <c r="C6" s="420"/>
      <c r="D6" s="420"/>
      <c r="E6" s="420"/>
      <c r="F6" s="421"/>
      <c r="H6" s="419" t="s">
        <v>242</v>
      </c>
      <c r="I6" s="421"/>
      <c r="K6" s="419" t="s">
        <v>244</v>
      </c>
      <c r="L6" s="420"/>
      <c r="M6" s="420"/>
      <c r="N6" s="420"/>
      <c r="O6" s="420"/>
      <c r="P6" s="421"/>
      <c r="R6" s="419" t="s">
        <v>250</v>
      </c>
      <c r="S6" s="421"/>
    </row>
    <row r="7" spans="2:19" x14ac:dyDescent="0.2">
      <c r="B7" s="50"/>
      <c r="C7" s="34"/>
      <c r="D7" s="64" t="s">
        <v>171</v>
      </c>
      <c r="E7" s="34" t="s">
        <v>171</v>
      </c>
      <c r="F7" s="5" t="s">
        <v>171</v>
      </c>
      <c r="H7" s="435" t="s">
        <v>243</v>
      </c>
      <c r="I7" s="436"/>
      <c r="K7" s="4"/>
      <c r="L7" s="431" t="s">
        <v>245</v>
      </c>
      <c r="M7" s="432"/>
      <c r="N7" s="431" t="s">
        <v>246</v>
      </c>
      <c r="O7" s="432"/>
      <c r="P7" s="190" t="s">
        <v>248</v>
      </c>
      <c r="R7" s="53" t="s">
        <v>251</v>
      </c>
      <c r="S7" s="56" t="s">
        <v>213</v>
      </c>
    </row>
    <row r="8" spans="2:19" x14ac:dyDescent="0.2">
      <c r="B8" s="53" t="s">
        <v>226</v>
      </c>
      <c r="C8" s="54" t="s">
        <v>170</v>
      </c>
      <c r="D8" s="55" t="s">
        <v>29</v>
      </c>
      <c r="E8" s="54" t="s">
        <v>28</v>
      </c>
      <c r="F8" s="56" t="s">
        <v>27</v>
      </c>
      <c r="H8" s="4" t="s">
        <v>241</v>
      </c>
      <c r="I8" s="93">
        <v>0.1</v>
      </c>
      <c r="K8" s="53" t="s">
        <v>226</v>
      </c>
      <c r="L8" s="196" t="s">
        <v>237</v>
      </c>
      <c r="M8" s="198" t="s">
        <v>238</v>
      </c>
      <c r="N8" s="196" t="s">
        <v>237</v>
      </c>
      <c r="O8" s="198" t="s">
        <v>238</v>
      </c>
      <c r="P8" s="192" t="s">
        <v>249</v>
      </c>
      <c r="R8" s="4" t="s">
        <v>265</v>
      </c>
      <c r="S8" s="96">
        <v>0.05</v>
      </c>
    </row>
    <row r="9" spans="2:19" ht="12.75" thickBot="1" x14ac:dyDescent="0.25">
      <c r="B9" s="4" t="s">
        <v>240</v>
      </c>
      <c r="C9" s="57">
        <f>SUM(D9:F9)</f>
        <v>1112101.2</v>
      </c>
      <c r="D9" s="58">
        <f>SUMIF(BuildingSummary!$C$18:$Q$18,D$8,BuildingSummary!$C$22:$Q$22)*(1-$I$8)</f>
        <v>657093.6</v>
      </c>
      <c r="E9" s="57">
        <f>SUMIF(BuildingSummary!$C$18:$Q$18,E$8,BuildingSummary!$C$22:$Q$22)*(1-$I$8)</f>
        <v>455007.60000000003</v>
      </c>
      <c r="F9" s="59">
        <f>SUMIF(BuildingSummary!$C$18:$Q$18,F$8,BuildingSummary!$C$22:$Q$22)*(1-$I$8)</f>
        <v>0</v>
      </c>
      <c r="H9" s="6" t="s">
        <v>236</v>
      </c>
      <c r="I9" s="212">
        <v>0.15</v>
      </c>
      <c r="K9" s="4" t="str">
        <f>B9</f>
        <v>Market Rate Office Space</v>
      </c>
      <c r="L9" s="224">
        <v>38</v>
      </c>
      <c r="M9" s="225">
        <f t="shared" ref="M9:O11" si="0">L9/12</f>
        <v>3.1666666666666665</v>
      </c>
      <c r="N9" s="224">
        <v>18</v>
      </c>
      <c r="O9" s="225">
        <f t="shared" si="0"/>
        <v>1.5</v>
      </c>
      <c r="P9" s="218" t="s">
        <v>247</v>
      </c>
      <c r="R9" s="4" t="s">
        <v>266</v>
      </c>
      <c r="S9" s="96">
        <v>0.3</v>
      </c>
    </row>
    <row r="10" spans="2:19" x14ac:dyDescent="0.2">
      <c r="B10" s="4" t="s">
        <v>241</v>
      </c>
      <c r="C10" s="60">
        <f>SUM(D10:F10)</f>
        <v>123566.80000000002</v>
      </c>
      <c r="D10" s="61">
        <f>SUMIF(BuildingSummary!$C$18:$Q$18,D$8,BuildingSummary!$C$22:$Q$22)*$I$8</f>
        <v>73010.400000000009</v>
      </c>
      <c r="E10" s="62">
        <f>SUMIF(BuildingSummary!$C$18:$Q$18,E$8,BuildingSummary!$C$22:$Q$22)*$I$8</f>
        <v>50556.4</v>
      </c>
      <c r="F10" s="63">
        <f>SUMIF(BuildingSummary!$C$18:$Q$18,F$8,BuildingSummary!$C$22:$Q$22)*$I$8</f>
        <v>0</v>
      </c>
      <c r="K10" s="4" t="str">
        <f>B10</f>
        <v>Affordable Office Space</v>
      </c>
      <c r="L10" s="226">
        <f>L9*(1-I9)</f>
        <v>32.299999999999997</v>
      </c>
      <c r="M10" s="227">
        <f t="shared" si="0"/>
        <v>2.6916666666666664</v>
      </c>
      <c r="N10" s="231">
        <f>N9</f>
        <v>18</v>
      </c>
      <c r="O10" s="227">
        <f t="shared" si="0"/>
        <v>1.5</v>
      </c>
      <c r="P10" s="220" t="s">
        <v>247</v>
      </c>
      <c r="R10" s="4"/>
      <c r="S10" s="13"/>
    </row>
    <row r="11" spans="2:19" ht="12.75" thickBot="1" x14ac:dyDescent="0.25">
      <c r="B11" s="6" t="s">
        <v>32</v>
      </c>
      <c r="C11" s="65">
        <f>SUM(C9:C10)</f>
        <v>1235668</v>
      </c>
      <c r="D11" s="66">
        <f>SUM(D9:D10)</f>
        <v>730104</v>
      </c>
      <c r="E11" s="65">
        <f>SUM(E9:E10)</f>
        <v>505564.00000000006</v>
      </c>
      <c r="F11" s="67">
        <f>SUM(F9:F10)</f>
        <v>0</v>
      </c>
      <c r="K11" s="6" t="s">
        <v>235</v>
      </c>
      <c r="L11" s="230">
        <f>SUMPRODUCT(L9:L10,C9:C10)/C11</f>
        <v>37.43</v>
      </c>
      <c r="M11" s="229">
        <f t="shared" si="0"/>
        <v>3.1191666666666666</v>
      </c>
      <c r="N11" s="230">
        <f>SUMPRODUCT(N9:N10,E9:E10)/E11</f>
        <v>17.999999999999996</v>
      </c>
      <c r="O11" s="229">
        <f t="shared" si="0"/>
        <v>1.4999999999999998</v>
      </c>
      <c r="P11" s="219" t="s">
        <v>247</v>
      </c>
      <c r="R11" s="53" t="s">
        <v>255</v>
      </c>
      <c r="S11" s="56"/>
    </row>
    <row r="12" spans="2:19" x14ac:dyDescent="0.2">
      <c r="R12" s="4" t="s">
        <v>264</v>
      </c>
      <c r="S12" s="215">
        <v>18</v>
      </c>
    </row>
    <row r="13" spans="2:19" x14ac:dyDescent="0.2">
      <c r="L13" s="239"/>
      <c r="R13" s="4"/>
      <c r="S13" s="93"/>
    </row>
    <row r="14" spans="2:19" ht="12.75" thickBot="1" x14ac:dyDescent="0.25">
      <c r="C14" s="138"/>
      <c r="R14" s="6" t="s">
        <v>263</v>
      </c>
      <c r="S14" s="232">
        <v>0.2</v>
      </c>
    </row>
  </sheetData>
  <mergeCells count="8">
    <mergeCell ref="H7:I7"/>
    <mergeCell ref="L7:M7"/>
    <mergeCell ref="N7:O7"/>
    <mergeCell ref="R6:S6"/>
    <mergeCell ref="B2:C2"/>
    <mergeCell ref="B6:F6"/>
    <mergeCell ref="H6:I6"/>
    <mergeCell ref="K6:P6"/>
  </mergeCells>
  <pageMargins left="0.7" right="0.7" top="0.75" bottom="0.75" header="0.3" footer="0.3"/>
  <ignoredErrors>
    <ignoredError sqref="M8:O1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6470-4530-48A9-82C8-F80689FC65D4}">
  <sheetPr>
    <tabColor theme="2" tint="-0.499984740745262"/>
  </sheetPr>
  <dimension ref="B1:N161"/>
  <sheetViews>
    <sheetView topLeftCell="A79" workbookViewId="0"/>
    <sheetView workbookViewId="1"/>
  </sheetViews>
  <sheetFormatPr defaultRowHeight="12" x14ac:dyDescent="0.2"/>
  <cols>
    <col min="1" max="1" width="2.85546875" style="1" customWidth="1"/>
    <col min="2" max="2" width="35.85546875" style="1" bestFit="1" customWidth="1"/>
    <col min="3" max="3" width="9.140625" style="1"/>
    <col min="4" max="14" width="11.42578125" style="1" customWidth="1"/>
    <col min="15" max="16384" width="9.140625" style="1"/>
  </cols>
  <sheetData>
    <row r="1" spans="2:14" ht="12.75" thickBot="1" x14ac:dyDescent="0.25"/>
    <row r="2" spans="2:14" x14ac:dyDescent="0.2">
      <c r="B2" s="417" t="s">
        <v>59</v>
      </c>
      <c r="C2" s="418"/>
    </row>
    <row r="3" spans="2:14" x14ac:dyDescent="0.2">
      <c r="B3" s="4" t="s">
        <v>58</v>
      </c>
      <c r="C3" s="5" t="str">
        <f>ProjectName</f>
        <v>Montage</v>
      </c>
    </row>
    <row r="4" spans="2:14" ht="12.75" thickBot="1" x14ac:dyDescent="0.25">
      <c r="B4" s="6" t="s">
        <v>56</v>
      </c>
      <c r="C4" s="7">
        <f>TeamNumber</f>
        <v>181430</v>
      </c>
    </row>
    <row r="5" spans="2:14" ht="12.75" thickBot="1" x14ac:dyDescent="0.25"/>
    <row r="6" spans="2:14" x14ac:dyDescent="0.2">
      <c r="B6" s="419" t="s">
        <v>341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1"/>
    </row>
    <row r="7" spans="2:14" x14ac:dyDescent="0.2">
      <c r="B7" s="4" t="s">
        <v>290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">
      <c r="B8" s="4" t="s">
        <v>291</v>
      </c>
      <c r="C8" s="12"/>
      <c r="D8" s="12">
        <f>YEAR('Assumptions-Overall'!C9)</f>
        <v>2018</v>
      </c>
      <c r="E8" s="12">
        <f>D8+1</f>
        <v>2019</v>
      </c>
      <c r="F8" s="12">
        <f t="shared" si="0"/>
        <v>2020</v>
      </c>
      <c r="G8" s="12">
        <f t="shared" si="0"/>
        <v>2021</v>
      </c>
      <c r="H8" s="12">
        <f t="shared" si="0"/>
        <v>2022</v>
      </c>
      <c r="I8" s="12">
        <f t="shared" si="0"/>
        <v>2023</v>
      </c>
      <c r="J8" s="12">
        <f t="shared" si="0"/>
        <v>2024</v>
      </c>
      <c r="K8" s="12">
        <f t="shared" si="0"/>
        <v>2025</v>
      </c>
      <c r="L8" s="12">
        <f t="shared" si="0"/>
        <v>2026</v>
      </c>
      <c r="M8" s="12">
        <f t="shared" si="0"/>
        <v>2027</v>
      </c>
      <c r="N8" s="13">
        <f t="shared" si="0"/>
        <v>2028</v>
      </c>
    </row>
    <row r="9" spans="2:14" x14ac:dyDescent="0.2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">
      <c r="B10" s="243" t="s">
        <v>292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">
      <c r="B11" s="4" t="s">
        <v>293</v>
      </c>
      <c r="C11" s="12"/>
      <c r="D11" s="244">
        <f t="shared" ref="D11:N11" si="1">SUM(D15:D16)</f>
        <v>0</v>
      </c>
      <c r="E11" s="244">
        <f t="shared" si="1"/>
        <v>0</v>
      </c>
      <c r="F11" s="244">
        <f t="shared" si="1"/>
        <v>0</v>
      </c>
      <c r="G11" s="244">
        <f t="shared" si="1"/>
        <v>0</v>
      </c>
      <c r="H11" s="244">
        <f t="shared" si="1"/>
        <v>730104</v>
      </c>
      <c r="I11" s="244">
        <f t="shared" si="1"/>
        <v>730104</v>
      </c>
      <c r="J11" s="244">
        <f t="shared" si="1"/>
        <v>730104</v>
      </c>
      <c r="K11" s="244">
        <f t="shared" si="1"/>
        <v>730104</v>
      </c>
      <c r="L11" s="244">
        <f t="shared" si="1"/>
        <v>730104</v>
      </c>
      <c r="M11" s="244">
        <f t="shared" si="1"/>
        <v>730104</v>
      </c>
      <c r="N11" s="245">
        <f t="shared" si="1"/>
        <v>730104</v>
      </c>
    </row>
    <row r="12" spans="2:14" x14ac:dyDescent="0.2">
      <c r="B12" s="4" t="s">
        <v>294</v>
      </c>
      <c r="C12" s="12"/>
      <c r="D12" s="244">
        <f>D11-C11</f>
        <v>0</v>
      </c>
      <c r="E12" s="244">
        <f t="shared" ref="E12:N12" si="2">E11-D11</f>
        <v>0</v>
      </c>
      <c r="F12" s="244">
        <f t="shared" si="2"/>
        <v>0</v>
      </c>
      <c r="G12" s="244">
        <f t="shared" si="2"/>
        <v>0</v>
      </c>
      <c r="H12" s="244">
        <f t="shared" si="2"/>
        <v>730104</v>
      </c>
      <c r="I12" s="244">
        <f t="shared" si="2"/>
        <v>0</v>
      </c>
      <c r="J12" s="244">
        <f t="shared" si="2"/>
        <v>0</v>
      </c>
      <c r="K12" s="244">
        <f t="shared" si="2"/>
        <v>0</v>
      </c>
      <c r="L12" s="244">
        <f t="shared" si="2"/>
        <v>0</v>
      </c>
      <c r="M12" s="244">
        <f t="shared" si="2"/>
        <v>0</v>
      </c>
      <c r="N12" s="245">
        <f t="shared" si="2"/>
        <v>0</v>
      </c>
    </row>
    <row r="13" spans="2:14" x14ac:dyDescent="0.2">
      <c r="B13" s="4"/>
      <c r="C13" s="12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/>
    </row>
    <row r="14" spans="2:14" x14ac:dyDescent="0.2">
      <c r="B14" s="53" t="s">
        <v>331</v>
      </c>
      <c r="C14" s="12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</row>
    <row r="15" spans="2:14" x14ac:dyDescent="0.2">
      <c r="B15" s="4" t="str">
        <f>'Assumptions-Office'!B9</f>
        <v>Market Rate Office Space</v>
      </c>
      <c r="C15" s="12"/>
      <c r="D15" s="244">
        <f>(D$8&gt;=YEAR(PhaseIComplete))*'Assumptions-Office'!$D9</f>
        <v>0</v>
      </c>
      <c r="E15" s="244">
        <f>(E$8&gt;=YEAR(PhaseIComplete))*'Assumptions-Office'!$D9</f>
        <v>0</v>
      </c>
      <c r="F15" s="244">
        <f>(F$8&gt;=YEAR(PhaseIComplete))*'Assumptions-Office'!$D9</f>
        <v>0</v>
      </c>
      <c r="G15" s="244">
        <f>(G$8&gt;=YEAR(PhaseIComplete))*'Assumptions-Office'!$D9</f>
        <v>0</v>
      </c>
      <c r="H15" s="244">
        <f>(H$8&gt;=YEAR(PhaseIComplete))*'Assumptions-Office'!$D9</f>
        <v>657093.6</v>
      </c>
      <c r="I15" s="244">
        <f>(I$8&gt;=YEAR(PhaseIComplete))*'Assumptions-Office'!$D9</f>
        <v>657093.6</v>
      </c>
      <c r="J15" s="244">
        <f>(J$8&gt;=YEAR(PhaseIComplete))*'Assumptions-Office'!$D9</f>
        <v>657093.6</v>
      </c>
      <c r="K15" s="244">
        <f>(K$8&gt;=YEAR(PhaseIComplete))*'Assumptions-Office'!$D9</f>
        <v>657093.6</v>
      </c>
      <c r="L15" s="244">
        <f>(L$8&gt;=YEAR(PhaseIComplete))*'Assumptions-Office'!$D9</f>
        <v>657093.6</v>
      </c>
      <c r="M15" s="244">
        <f>(M$8&gt;=YEAR(PhaseIComplete))*'Assumptions-Office'!$D9</f>
        <v>657093.6</v>
      </c>
      <c r="N15" s="245">
        <f>(N$8&gt;=YEAR(PhaseIComplete))*'Assumptions-Office'!$D9</f>
        <v>657093.6</v>
      </c>
    </row>
    <row r="16" spans="2:14" x14ac:dyDescent="0.2">
      <c r="B16" s="4" t="str">
        <f>'Assumptions-Office'!B10</f>
        <v>Affordable Office Space</v>
      </c>
      <c r="C16" s="12"/>
      <c r="D16" s="244">
        <f>(D$8&gt;=YEAR(PhaseIComplete))*'Assumptions-Office'!$D10</f>
        <v>0</v>
      </c>
      <c r="E16" s="244">
        <f>(E$8&gt;=YEAR(PhaseIComplete))*'Assumptions-Office'!$D10</f>
        <v>0</v>
      </c>
      <c r="F16" s="244">
        <f>(F$8&gt;=YEAR(PhaseIComplete))*'Assumptions-Office'!$D10</f>
        <v>0</v>
      </c>
      <c r="G16" s="244">
        <f>(G$8&gt;=YEAR(PhaseIComplete))*'Assumptions-Office'!$D10</f>
        <v>0</v>
      </c>
      <c r="H16" s="244">
        <f>(H$8&gt;=YEAR(PhaseIComplete))*'Assumptions-Office'!$D10</f>
        <v>73010.400000000009</v>
      </c>
      <c r="I16" s="244">
        <f>(I$8&gt;=YEAR(PhaseIComplete))*'Assumptions-Office'!$D10</f>
        <v>73010.400000000009</v>
      </c>
      <c r="J16" s="244">
        <f>(J$8&gt;=YEAR(PhaseIComplete))*'Assumptions-Office'!$D10</f>
        <v>73010.400000000009</v>
      </c>
      <c r="K16" s="244">
        <f>(K$8&gt;=YEAR(PhaseIComplete))*'Assumptions-Office'!$D10</f>
        <v>73010.400000000009</v>
      </c>
      <c r="L16" s="244">
        <f>(L$8&gt;=YEAR(PhaseIComplete))*'Assumptions-Office'!$D10</f>
        <v>73010.400000000009</v>
      </c>
      <c r="M16" s="244">
        <f>(M$8&gt;=YEAR(PhaseIComplete))*'Assumptions-Office'!$D10</f>
        <v>73010.400000000009</v>
      </c>
      <c r="N16" s="245">
        <f>(N$8&gt;=YEAR(PhaseIComplete))*'Assumptions-Office'!$D10</f>
        <v>73010.400000000009</v>
      </c>
    </row>
    <row r="17" spans="2:14" x14ac:dyDescent="0.2">
      <c r="B17" s="4"/>
      <c r="C17" s="12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5"/>
    </row>
    <row r="18" spans="2:14" x14ac:dyDescent="0.2">
      <c r="B18" s="53" t="s">
        <v>307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2:14" x14ac:dyDescent="0.2">
      <c r="B19" s="4" t="s">
        <v>336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2:14" x14ac:dyDescent="0.2">
      <c r="B20" s="246" t="str">
        <f>B15</f>
        <v>Market Rate Office Space</v>
      </c>
      <c r="C20" s="12"/>
      <c r="D20" s="242">
        <f>D15*'Assumptions-Office'!$L9*(1+'Assumptions-Overall'!$C$35)^('CashFlow-Office'!D$7-1)</f>
        <v>0</v>
      </c>
      <c r="E20" s="242">
        <f>E15*'Assumptions-Office'!$L9*(1+'Assumptions-Overall'!$C$35)^('CashFlow-Office'!E$7-1)</f>
        <v>0</v>
      </c>
      <c r="F20" s="242">
        <f>F15*'Assumptions-Office'!$L9*(1+'Assumptions-Overall'!$C$35)^('CashFlow-Office'!F$7-1)</f>
        <v>0</v>
      </c>
      <c r="G20" s="242">
        <f>G15*'Assumptions-Office'!$L9*(1+'Assumptions-Overall'!$C$35)^('CashFlow-Office'!G$7-1)</f>
        <v>0</v>
      </c>
      <c r="H20" s="242">
        <f>H15*'Assumptions-Office'!$L9*(1+'Assumptions-Overall'!$C$35)^('CashFlow-Office'!H$7-1)</f>
        <v>28103456.160195407</v>
      </c>
      <c r="I20" s="242">
        <f>I15*'Assumptions-Office'!$L9*(1+'Assumptions-Overall'!$C$35)^('CashFlow-Office'!I$7-1)</f>
        <v>28946559.845001265</v>
      </c>
      <c r="J20" s="242">
        <f>J15*'Assumptions-Office'!$L9*(1+'Assumptions-Overall'!$C$35)^('CashFlow-Office'!J$7-1)</f>
        <v>29814956.640351307</v>
      </c>
      <c r="K20" s="242">
        <f>K15*'Assumptions-Office'!$L9*(1+'Assumptions-Overall'!$C$35)^('CashFlow-Office'!K$7-1)</f>
        <v>30709405.33956185</v>
      </c>
      <c r="L20" s="242">
        <f>L15*'Assumptions-Office'!$L9*(1+'Assumptions-Overall'!$C$35)^('CashFlow-Office'!L$7-1)</f>
        <v>31630687.499748699</v>
      </c>
      <c r="M20" s="242">
        <f>M15*'Assumptions-Office'!$L9*(1+'Assumptions-Overall'!$C$35)^('CashFlow-Office'!M$7-1)</f>
        <v>32579608.124741163</v>
      </c>
      <c r="N20" s="247">
        <f>N15*'Assumptions-Office'!$L9*(1+'Assumptions-Overall'!$C$35)^('CashFlow-Office'!N$7-1)</f>
        <v>33556996.368483394</v>
      </c>
    </row>
    <row r="21" spans="2:14" x14ac:dyDescent="0.2">
      <c r="B21" s="246" t="str">
        <f>B16</f>
        <v>Affordable Office Space</v>
      </c>
      <c r="C21" s="12"/>
      <c r="D21" s="240">
        <f>D16*'Assumptions-Office'!$L10*(1+'Assumptions-Overall'!$C$35)^('CashFlow-Office'!D$7-1)</f>
        <v>0</v>
      </c>
      <c r="E21" s="240">
        <f>E16*'Assumptions-Office'!$L10*(1+'Assumptions-Overall'!$C$35)^('CashFlow-Office'!E$7-1)</f>
        <v>0</v>
      </c>
      <c r="F21" s="240">
        <f>F16*'Assumptions-Office'!$L10*(1+'Assumptions-Overall'!$C$35)^('CashFlow-Office'!F$7-1)</f>
        <v>0</v>
      </c>
      <c r="G21" s="240">
        <f>G16*'Assumptions-Office'!$L10*(1+'Assumptions-Overall'!$C$35)^('CashFlow-Office'!G$7-1)</f>
        <v>0</v>
      </c>
      <c r="H21" s="240">
        <f>H16*'Assumptions-Office'!$L10*(1+'Assumptions-Overall'!$C$35)^('CashFlow-Office'!H$7-1)</f>
        <v>2654215.3040184551</v>
      </c>
      <c r="I21" s="240">
        <f>I16*'Assumptions-Office'!$L10*(1+'Assumptions-Overall'!$C$35)^('CashFlow-Office'!I$7-1)</f>
        <v>2733841.7631390085</v>
      </c>
      <c r="J21" s="240">
        <f>J16*'Assumptions-Office'!$L10*(1+'Assumptions-Overall'!$C$35)^('CashFlow-Office'!J$7-1)</f>
        <v>2815857.0160331787</v>
      </c>
      <c r="K21" s="240">
        <f>K16*'Assumptions-Office'!$L10*(1+'Assumptions-Overall'!$C$35)^('CashFlow-Office'!K$7-1)</f>
        <v>2900332.7265141741</v>
      </c>
      <c r="L21" s="240">
        <f>L16*'Assumptions-Office'!$L10*(1+'Assumptions-Overall'!$C$35)^('CashFlow-Office'!L$7-1)</f>
        <v>2987342.7083095992</v>
      </c>
      <c r="M21" s="240">
        <f>M16*'Assumptions-Office'!$L10*(1+'Assumptions-Overall'!$C$35)^('CashFlow-Office'!M$7-1)</f>
        <v>3076962.9895588872</v>
      </c>
      <c r="N21" s="248">
        <f>N16*'Assumptions-Office'!$L10*(1+'Assumptions-Overall'!$C$35)^('CashFlow-Office'!N$7-1)</f>
        <v>3169271.8792456537</v>
      </c>
    </row>
    <row r="22" spans="2:14" x14ac:dyDescent="0.2">
      <c r="B22" s="4" t="s">
        <v>337</v>
      </c>
      <c r="C22" s="12"/>
      <c r="D22" s="242">
        <f t="shared" ref="D22:N22" si="3">SUM(D20:D21)</f>
        <v>0</v>
      </c>
      <c r="E22" s="242">
        <f t="shared" si="3"/>
        <v>0</v>
      </c>
      <c r="F22" s="242">
        <f t="shared" si="3"/>
        <v>0</v>
      </c>
      <c r="G22" s="242">
        <f t="shared" si="3"/>
        <v>0</v>
      </c>
      <c r="H22" s="242">
        <f t="shared" si="3"/>
        <v>30757671.464213863</v>
      </c>
      <c r="I22" s="242">
        <f t="shared" si="3"/>
        <v>31680401.608140275</v>
      </c>
      <c r="J22" s="242">
        <f t="shared" si="3"/>
        <v>32630813.656384487</v>
      </c>
      <c r="K22" s="242">
        <f t="shared" si="3"/>
        <v>33609738.066076025</v>
      </c>
      <c r="L22" s="242">
        <f t="shared" si="3"/>
        <v>34618030.208058298</v>
      </c>
      <c r="M22" s="242">
        <f t="shared" si="3"/>
        <v>35656571.11430005</v>
      </c>
      <c r="N22" s="247">
        <f t="shared" si="3"/>
        <v>36726268.247729048</v>
      </c>
    </row>
    <row r="23" spans="2:14" x14ac:dyDescent="0.2">
      <c r="B23" s="4"/>
      <c r="C23" s="1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7"/>
    </row>
    <row r="24" spans="2:14" x14ac:dyDescent="0.2">
      <c r="B24" s="4" t="s">
        <v>338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2:14" x14ac:dyDescent="0.2">
      <c r="B25" s="246" t="str">
        <f>B20</f>
        <v>Market Rate Office Space</v>
      </c>
      <c r="C25" s="12"/>
      <c r="D25" s="242">
        <f>D15*'Assumptions-Office'!$N9*(1+'Assumptions-Overall'!$C$35)^('CashFlow-Office'!D$7-1)</f>
        <v>0</v>
      </c>
      <c r="E25" s="242">
        <f>E15*'Assumptions-Office'!$N9*(1+'Assumptions-Overall'!$C$35)^('CashFlow-Office'!E$7-1)</f>
        <v>0</v>
      </c>
      <c r="F25" s="242">
        <f>F15*'Assumptions-Office'!$N9*(1+'Assumptions-Overall'!$C$35)^('CashFlow-Office'!F$7-1)</f>
        <v>0</v>
      </c>
      <c r="G25" s="242">
        <f>G15*'Assumptions-Office'!$N9*(1+'Assumptions-Overall'!$C$35)^('CashFlow-Office'!G$7-1)</f>
        <v>0</v>
      </c>
      <c r="H25" s="242">
        <f>H15*'Assumptions-Office'!$N9*(1+'Assumptions-Overall'!$C$35)^('CashFlow-Office'!H$7-1)</f>
        <v>13312163.444303086</v>
      </c>
      <c r="I25" s="242">
        <f>I15*'Assumptions-Office'!$N9*(1+'Assumptions-Overall'!$C$35)^('CashFlow-Office'!I$7-1)</f>
        <v>13711528.347632177</v>
      </c>
      <c r="J25" s="242">
        <f>J15*'Assumptions-Office'!$N9*(1+'Assumptions-Overall'!$C$35)^('CashFlow-Office'!J$7-1)</f>
        <v>14122874.198061144</v>
      </c>
      <c r="K25" s="242">
        <f>K15*'Assumptions-Office'!$N9*(1+'Assumptions-Overall'!$C$35)^('CashFlow-Office'!K$7-1)</f>
        <v>14546560.424002979</v>
      </c>
      <c r="L25" s="242">
        <f>L15*'Assumptions-Office'!$N9*(1+'Assumptions-Overall'!$C$35)^('CashFlow-Office'!L$7-1)</f>
        <v>14982957.236723067</v>
      </c>
      <c r="M25" s="242">
        <f>M15*'Assumptions-Office'!$N9*(1+'Assumptions-Overall'!$C$35)^('CashFlow-Office'!M$7-1)</f>
        <v>15432445.953824759</v>
      </c>
      <c r="N25" s="247">
        <f>N15*'Assumptions-Office'!$N9*(1+'Assumptions-Overall'!$C$35)^('CashFlow-Office'!N$7-1)</f>
        <v>15895419.332439501</v>
      </c>
    </row>
    <row r="26" spans="2:14" x14ac:dyDescent="0.2">
      <c r="B26" s="246" t="str">
        <f>B21</f>
        <v>Affordable Office Space</v>
      </c>
      <c r="C26" s="12"/>
      <c r="D26" s="240">
        <f>D16*'Assumptions-Office'!$N10*(1+'Assumptions-Overall'!$C$35)^('CashFlow-Office'!D$7-1)</f>
        <v>0</v>
      </c>
      <c r="E26" s="240">
        <f>E16*'Assumptions-Office'!$N10*(1+'Assumptions-Overall'!$C$35)^('CashFlow-Office'!E$7-1)</f>
        <v>0</v>
      </c>
      <c r="F26" s="240">
        <f>F16*'Assumptions-Office'!$N10*(1+'Assumptions-Overall'!$C$35)^('CashFlow-Office'!F$7-1)</f>
        <v>0</v>
      </c>
      <c r="G26" s="240">
        <f>G16*'Assumptions-Office'!$N10*(1+'Assumptions-Overall'!$C$35)^('CashFlow-Office'!G$7-1)</f>
        <v>0</v>
      </c>
      <c r="H26" s="240">
        <f>H16*'Assumptions-Office'!$N10*(1+'Assumptions-Overall'!$C$35)^('CashFlow-Office'!H$7-1)</f>
        <v>1479129.2715892321</v>
      </c>
      <c r="I26" s="240">
        <f>I16*'Assumptions-Office'!$N10*(1+'Assumptions-Overall'!$C$35)^('CashFlow-Office'!I$7-1)</f>
        <v>1523503.149736909</v>
      </c>
      <c r="J26" s="240">
        <f>J16*'Assumptions-Office'!$N10*(1+'Assumptions-Overall'!$C$35)^('CashFlow-Office'!J$7-1)</f>
        <v>1569208.2442290164</v>
      </c>
      <c r="K26" s="240">
        <f>K16*'Assumptions-Office'!$N10*(1+'Assumptions-Overall'!$C$35)^('CashFlow-Office'!K$7-1)</f>
        <v>1616284.4915558868</v>
      </c>
      <c r="L26" s="240">
        <f>L16*'Assumptions-Office'!$N10*(1+'Assumptions-Overall'!$C$35)^('CashFlow-Office'!L$7-1)</f>
        <v>1664773.0263025633</v>
      </c>
      <c r="M26" s="240">
        <f>M16*'Assumptions-Office'!$N10*(1+'Assumptions-Overall'!$C$35)^('CashFlow-Office'!M$7-1)</f>
        <v>1714716.2170916402</v>
      </c>
      <c r="N26" s="248">
        <f>N16*'Assumptions-Office'!$N10*(1+'Assumptions-Overall'!$C$35)^('CashFlow-Office'!N$7-1)</f>
        <v>1766157.7036043894</v>
      </c>
    </row>
    <row r="27" spans="2:14" x14ac:dyDescent="0.2">
      <c r="B27" s="4" t="s">
        <v>339</v>
      </c>
      <c r="C27" s="12"/>
      <c r="D27" s="242">
        <f t="shared" ref="D27:N27" si="4">SUM(D25:D26)</f>
        <v>0</v>
      </c>
      <c r="E27" s="242">
        <f t="shared" si="4"/>
        <v>0</v>
      </c>
      <c r="F27" s="242">
        <f t="shared" si="4"/>
        <v>0</v>
      </c>
      <c r="G27" s="242">
        <f t="shared" si="4"/>
        <v>0</v>
      </c>
      <c r="H27" s="242">
        <f t="shared" si="4"/>
        <v>14791292.715892319</v>
      </c>
      <c r="I27" s="242">
        <f t="shared" si="4"/>
        <v>15235031.497369086</v>
      </c>
      <c r="J27" s="242">
        <f t="shared" si="4"/>
        <v>15692082.442290161</v>
      </c>
      <c r="K27" s="242">
        <f t="shared" si="4"/>
        <v>16162844.915558865</v>
      </c>
      <c r="L27" s="242">
        <f t="shared" si="4"/>
        <v>16647730.26302563</v>
      </c>
      <c r="M27" s="242">
        <f t="shared" si="4"/>
        <v>17147162.170916397</v>
      </c>
      <c r="N27" s="247">
        <f t="shared" si="4"/>
        <v>17661577.03604389</v>
      </c>
    </row>
    <row r="28" spans="2:14" x14ac:dyDescent="0.2">
      <c r="B28" s="4"/>
      <c r="C28" s="1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7"/>
    </row>
    <row r="29" spans="2:14" x14ac:dyDescent="0.2">
      <c r="B29" s="4" t="s">
        <v>301</v>
      </c>
      <c r="C29" s="1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7"/>
    </row>
    <row r="30" spans="2:14" x14ac:dyDescent="0.2">
      <c r="B30" s="246" t="s">
        <v>332</v>
      </c>
      <c r="C30" s="12"/>
      <c r="D30" s="242">
        <f>-(D22+D27)*'Assumptions-Office'!$S$8</f>
        <v>0</v>
      </c>
      <c r="E30" s="242">
        <f>-(E22+E27)*'Assumptions-Office'!$S$8</f>
        <v>0</v>
      </c>
      <c r="F30" s="242">
        <f>-(F22+F27)*'Assumptions-Office'!$S$8</f>
        <v>0</v>
      </c>
      <c r="G30" s="242">
        <f>-(G22+G27)*'Assumptions-Office'!$S$8</f>
        <v>0</v>
      </c>
      <c r="H30" s="242">
        <f>-(H22+H27)*'Assumptions-Office'!$S$8</f>
        <v>-2277448.2090053088</v>
      </c>
      <c r="I30" s="242">
        <f>-(I22+I27)*'Assumptions-Office'!$S$8</f>
        <v>-2345771.6552754682</v>
      </c>
      <c r="J30" s="242">
        <f>-(J22+J27)*'Assumptions-Office'!$S$8</f>
        <v>-2416144.8049337324</v>
      </c>
      <c r="K30" s="242">
        <f>-(K22+K27)*'Assumptions-Office'!$S$8</f>
        <v>-2488629.1490817447</v>
      </c>
      <c r="L30" s="242">
        <f>-(L22+L27)*'Assumptions-Office'!$S$8</f>
        <v>-2563288.0235541966</v>
      </c>
      <c r="M30" s="242">
        <f>-(M22+M27)*'Assumptions-Office'!$S$8</f>
        <v>-2640186.6642608228</v>
      </c>
      <c r="N30" s="247">
        <f>-(N22+N27)*'Assumptions-Office'!$S$8</f>
        <v>-2719392.2641886473</v>
      </c>
    </row>
    <row r="31" spans="2:14" x14ac:dyDescent="0.2">
      <c r="B31" s="246" t="s">
        <v>304</v>
      </c>
      <c r="C31" s="12"/>
      <c r="D31" s="240">
        <f>-(C22=0)*((D22+D27)*'Assumptions-Office'!$S$9+SUM('CashFlow-Office'!D30))</f>
        <v>0</v>
      </c>
      <c r="E31" s="240">
        <f>-(D22=0)*((E22+E27)*'Assumptions-Office'!$S$9+SUM('CashFlow-Office'!E30))</f>
        <v>0</v>
      </c>
      <c r="F31" s="240">
        <f>-(E22=0)*((F22+F27)*'Assumptions-Office'!$S$9+SUM('CashFlow-Office'!F30))</f>
        <v>0</v>
      </c>
      <c r="G31" s="240">
        <f>-(F22=0)*((G22+G27)*'Assumptions-Office'!$S$9+SUM('CashFlow-Office'!G30))</f>
        <v>0</v>
      </c>
      <c r="H31" s="240">
        <f>-(G22=0)*((H22+H27)*'Assumptions-Office'!$S$9+SUM('CashFlow-Office'!H30))</f>
        <v>-11387241.045026544</v>
      </c>
      <c r="I31" s="240">
        <f>-(H22=0)*((I22+I27)*'Assumptions-Office'!$S$9+SUM('CashFlow-Office'!I30))</f>
        <v>0</v>
      </c>
      <c r="J31" s="240">
        <f>-(I22=0)*((J22+J27)*'Assumptions-Office'!$S$9+SUM('CashFlow-Office'!J30))</f>
        <v>0</v>
      </c>
      <c r="K31" s="240">
        <f>-(J22=0)*((K22+K27)*'Assumptions-Office'!$S$9+SUM('CashFlow-Office'!K30))</f>
        <v>0</v>
      </c>
      <c r="L31" s="240">
        <f>-(K22=0)*((L22+L27)*'Assumptions-Office'!$S$9+SUM('CashFlow-Office'!L30))</f>
        <v>0</v>
      </c>
      <c r="M31" s="240">
        <f>-(L22=0)*((M22+M27)*'Assumptions-Office'!$S$9+SUM('CashFlow-Office'!M30))</f>
        <v>0</v>
      </c>
      <c r="N31" s="248">
        <f>-(M22=0)*((N22+N27)*'Assumptions-Office'!$S$9+SUM('CashFlow-Office'!N30))</f>
        <v>0</v>
      </c>
    </row>
    <row r="32" spans="2:14" x14ac:dyDescent="0.2">
      <c r="B32" s="4" t="s">
        <v>305</v>
      </c>
      <c r="C32" s="12"/>
      <c r="D32" s="242">
        <f t="shared" ref="D32:N32" si="5">SUM(D30:D31)</f>
        <v>0</v>
      </c>
      <c r="E32" s="242">
        <f t="shared" si="5"/>
        <v>0</v>
      </c>
      <c r="F32" s="242">
        <f t="shared" si="5"/>
        <v>0</v>
      </c>
      <c r="G32" s="242">
        <f t="shared" si="5"/>
        <v>0</v>
      </c>
      <c r="H32" s="242">
        <f t="shared" si="5"/>
        <v>-13664689.254031854</v>
      </c>
      <c r="I32" s="242">
        <f t="shared" si="5"/>
        <v>-2345771.6552754682</v>
      </c>
      <c r="J32" s="242">
        <f t="shared" si="5"/>
        <v>-2416144.8049337324</v>
      </c>
      <c r="K32" s="242">
        <f t="shared" si="5"/>
        <v>-2488629.1490817447</v>
      </c>
      <c r="L32" s="242">
        <f t="shared" si="5"/>
        <v>-2563288.0235541966</v>
      </c>
      <c r="M32" s="242">
        <f t="shared" si="5"/>
        <v>-2640186.6642608228</v>
      </c>
      <c r="N32" s="247">
        <f t="shared" si="5"/>
        <v>-2719392.2641886473</v>
      </c>
    </row>
    <row r="33" spans="2:14" x14ac:dyDescent="0.2">
      <c r="B33" s="4"/>
      <c r="C33" s="12"/>
      <c r="D33" s="242"/>
      <c r="E33" s="242"/>
      <c r="F33" s="242"/>
      <c r="G33" s="242"/>
      <c r="H33" s="211"/>
      <c r="I33" s="242"/>
      <c r="J33" s="242"/>
      <c r="K33" s="242"/>
      <c r="L33" s="242"/>
      <c r="M33" s="242"/>
      <c r="N33" s="247"/>
    </row>
    <row r="34" spans="2:14" x14ac:dyDescent="0.2">
      <c r="B34" s="4" t="s">
        <v>306</v>
      </c>
      <c r="C34" s="12"/>
      <c r="D34" s="241">
        <f t="shared" ref="D34:N34" si="6">D22+D27+D32</f>
        <v>0</v>
      </c>
      <c r="E34" s="241">
        <f t="shared" si="6"/>
        <v>0</v>
      </c>
      <c r="F34" s="241">
        <f t="shared" si="6"/>
        <v>0</v>
      </c>
      <c r="G34" s="241">
        <f t="shared" si="6"/>
        <v>0</v>
      </c>
      <c r="H34" s="241">
        <f t="shared" si="6"/>
        <v>31884274.926074326</v>
      </c>
      <c r="I34" s="241">
        <f t="shared" si="6"/>
        <v>44569661.450233892</v>
      </c>
      <c r="J34" s="241">
        <f t="shared" si="6"/>
        <v>45906751.293740913</v>
      </c>
      <c r="K34" s="241">
        <f t="shared" si="6"/>
        <v>47283953.832553148</v>
      </c>
      <c r="L34" s="241">
        <f t="shared" si="6"/>
        <v>48702472.447529726</v>
      </c>
      <c r="M34" s="241">
        <f t="shared" si="6"/>
        <v>50163546.620955631</v>
      </c>
      <c r="N34" s="249">
        <f t="shared" si="6"/>
        <v>51668453.019584291</v>
      </c>
    </row>
    <row r="35" spans="2:14" x14ac:dyDescent="0.2">
      <c r="B35" s="4"/>
      <c r="C35" s="1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7"/>
    </row>
    <row r="36" spans="2:14" x14ac:dyDescent="0.2">
      <c r="B36" s="4" t="s">
        <v>308</v>
      </c>
      <c r="C36" s="12"/>
      <c r="D36" s="242">
        <f>-D11*'Assumptions-Office'!$S$12*(1+'Assumptions-Overall'!$C$39)^('CashFlow-Office'!D$7-1)</f>
        <v>0</v>
      </c>
      <c r="E36" s="242">
        <f>-E11*'Assumptions-Office'!$S$12*(1+'Assumptions-Overall'!$C$39)^('CashFlow-Office'!E$7-1)</f>
        <v>0</v>
      </c>
      <c r="F36" s="242">
        <f>-F11*'Assumptions-Office'!$S$12*(1+'Assumptions-Overall'!$C$39)^('CashFlow-Office'!F$7-1)</f>
        <v>0</v>
      </c>
      <c r="G36" s="242">
        <f>-G11*'Assumptions-Office'!$S$12*(1+'Assumptions-Overall'!$C$39)^('CashFlow-Office'!G$7-1)</f>
        <v>0</v>
      </c>
      <c r="H36" s="242">
        <f>-H11*'Assumptions-Office'!$S$12*(1+'Assumptions-Overall'!$C$39)^('CashFlow-Office'!H$7-1)</f>
        <v>-14791292.715892319</v>
      </c>
      <c r="I36" s="242">
        <f>-I11*'Assumptions-Office'!$S$12*(1+'Assumptions-Overall'!$C$39)^('CashFlow-Office'!I$7-1)</f>
        <v>-15235031.497369088</v>
      </c>
      <c r="J36" s="242">
        <f>-J11*'Assumptions-Office'!$S$12*(1+'Assumptions-Overall'!$C$39)^('CashFlow-Office'!J$7-1)</f>
        <v>-15692082.442290161</v>
      </c>
      <c r="K36" s="242">
        <f>-K11*'Assumptions-Office'!$S$12*(1+'Assumptions-Overall'!$C$39)^('CashFlow-Office'!K$7-1)</f>
        <v>-16162844.915558867</v>
      </c>
      <c r="L36" s="242">
        <f>-L11*'Assumptions-Office'!$S$12*(1+'Assumptions-Overall'!$C$39)^('CashFlow-Office'!L$7-1)</f>
        <v>-16647730.26302563</v>
      </c>
      <c r="M36" s="242">
        <f>-M11*'Assumptions-Office'!$S$12*(1+'Assumptions-Overall'!$C$39)^('CashFlow-Office'!M$7-1)</f>
        <v>-17147162.170916401</v>
      </c>
      <c r="N36" s="247">
        <f>-N11*'Assumptions-Office'!$S$12*(1+'Assumptions-Overall'!$C$39)^('CashFlow-Office'!N$7-1)</f>
        <v>-17661577.036043894</v>
      </c>
    </row>
    <row r="37" spans="2:14" x14ac:dyDescent="0.2">
      <c r="B37" s="4"/>
      <c r="C37" s="1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7"/>
    </row>
    <row r="38" spans="2:14" x14ac:dyDescent="0.2">
      <c r="B38" s="4" t="s">
        <v>310</v>
      </c>
      <c r="C38" s="12"/>
      <c r="D38" s="241">
        <f t="shared" ref="D38:N38" si="7">SUM(D34:D36)</f>
        <v>0</v>
      </c>
      <c r="E38" s="241">
        <f t="shared" si="7"/>
        <v>0</v>
      </c>
      <c r="F38" s="241">
        <f t="shared" si="7"/>
        <v>0</v>
      </c>
      <c r="G38" s="241">
        <f t="shared" si="7"/>
        <v>0</v>
      </c>
      <c r="H38" s="241">
        <f t="shared" si="7"/>
        <v>17092982.210182007</v>
      </c>
      <c r="I38" s="241">
        <f t="shared" si="7"/>
        <v>29334629.952864803</v>
      </c>
      <c r="J38" s="241">
        <f t="shared" si="7"/>
        <v>30214668.851450752</v>
      </c>
      <c r="K38" s="241">
        <f t="shared" si="7"/>
        <v>31121108.916994281</v>
      </c>
      <c r="L38" s="241">
        <f t="shared" si="7"/>
        <v>32054742.184504095</v>
      </c>
      <c r="M38" s="241">
        <f t="shared" si="7"/>
        <v>33016384.45003923</v>
      </c>
      <c r="N38" s="249">
        <f t="shared" si="7"/>
        <v>34006875.983540401</v>
      </c>
    </row>
    <row r="39" spans="2:14" x14ac:dyDescent="0.2">
      <c r="B39" s="4"/>
      <c r="C39" s="1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55"/>
    </row>
    <row r="40" spans="2:14" x14ac:dyDescent="0.2">
      <c r="B40" s="4" t="s">
        <v>283</v>
      </c>
      <c r="C40" s="12"/>
      <c r="D40" s="242">
        <f>-D11*'Assumptions-Office'!$S$14*(1+'Assumptions-Overall'!$C$40)^('CashFlow-Office'!D$7-1)</f>
        <v>0</v>
      </c>
      <c r="E40" s="242">
        <f>-E11*'Assumptions-Office'!$S$14*(1+'Assumptions-Overall'!$C$40)^('CashFlow-Office'!E$7-1)</f>
        <v>0</v>
      </c>
      <c r="F40" s="242">
        <f>-F11*'Assumptions-Office'!$S$14*(1+'Assumptions-Overall'!$C$40)^('CashFlow-Office'!F$7-1)</f>
        <v>0</v>
      </c>
      <c r="G40" s="242">
        <f>-G11*'Assumptions-Office'!$S$14*(1+'Assumptions-Overall'!$C$40)^('CashFlow-Office'!G$7-1)</f>
        <v>0</v>
      </c>
      <c r="H40" s="242">
        <f>-H11*'Assumptions-Office'!$S$14*(1+'Assumptions-Overall'!$C$40)^('CashFlow-Office'!H$7-1)</f>
        <v>-164347.69684324801</v>
      </c>
      <c r="I40" s="242">
        <f>-I11*'Assumptions-Office'!$S$14*(1+'Assumptions-Overall'!$C$40)^('CashFlow-Office'!I$7-1)</f>
        <v>-169278.12774854543</v>
      </c>
      <c r="J40" s="242">
        <f>-J11*'Assumptions-Office'!$S$14*(1+'Assumptions-Overall'!$C$40)^('CashFlow-Office'!J$7-1)</f>
        <v>-174356.47158100182</v>
      </c>
      <c r="K40" s="242">
        <f>-K11*'Assumptions-Office'!$S$14*(1+'Assumptions-Overall'!$C$40)^('CashFlow-Office'!K$7-1)</f>
        <v>-179587.16572843186</v>
      </c>
      <c r="L40" s="242">
        <f>-L11*'Assumptions-Office'!$S$14*(1+'Assumptions-Overall'!$C$40)^('CashFlow-Office'!L$7-1)</f>
        <v>-184974.78070028481</v>
      </c>
      <c r="M40" s="242">
        <f>-M11*'Assumptions-Office'!$S$14*(1+'Assumptions-Overall'!$C$40)^('CashFlow-Office'!M$7-1)</f>
        <v>-190524.02412129336</v>
      </c>
      <c r="N40" s="247"/>
    </row>
    <row r="41" spans="2:14" x14ac:dyDescent="0.2">
      <c r="B41" s="4"/>
      <c r="C41" s="1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7"/>
    </row>
    <row r="42" spans="2:14" x14ac:dyDescent="0.2">
      <c r="B42" s="4" t="s">
        <v>309</v>
      </c>
      <c r="C42" s="12"/>
      <c r="D42" s="241">
        <f>SUM(D38:D40)</f>
        <v>0</v>
      </c>
      <c r="E42" s="241">
        <f t="shared" ref="E42:M42" si="8">SUM(E38:E40)</f>
        <v>0</v>
      </c>
      <c r="F42" s="241">
        <f t="shared" si="8"/>
        <v>0</v>
      </c>
      <c r="G42" s="241">
        <f t="shared" si="8"/>
        <v>0</v>
      </c>
      <c r="H42" s="241">
        <f t="shared" si="8"/>
        <v>16928634.51333876</v>
      </c>
      <c r="I42" s="241">
        <f t="shared" si="8"/>
        <v>29165351.825116258</v>
      </c>
      <c r="J42" s="241">
        <f t="shared" si="8"/>
        <v>30040312.379869752</v>
      </c>
      <c r="K42" s="241">
        <f t="shared" si="8"/>
        <v>30941521.75126585</v>
      </c>
      <c r="L42" s="241">
        <f t="shared" si="8"/>
        <v>31869767.40380381</v>
      </c>
      <c r="M42" s="241">
        <f t="shared" si="8"/>
        <v>32825860.425917938</v>
      </c>
      <c r="N42" s="247"/>
    </row>
    <row r="43" spans="2:14" x14ac:dyDescent="0.2">
      <c r="B43" s="4"/>
      <c r="C43" s="1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7"/>
    </row>
    <row r="44" spans="2:14" x14ac:dyDescent="0.2">
      <c r="B44" s="53" t="s">
        <v>209</v>
      </c>
      <c r="C44" s="1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7"/>
    </row>
    <row r="45" spans="2:14" x14ac:dyDescent="0.2">
      <c r="B45" s="4" t="s">
        <v>311</v>
      </c>
      <c r="C45" s="12"/>
      <c r="D45" s="242">
        <f>-(AND(D$8&gt;=YEAR(PhaseIConBegin),D$8&lt;=YEAR(PhaseIConEnd)))*SUM($D12:$N12)*SUM('Assumptions-Overall'!$M$23:$M$24)*(1+'Assumptions-Overall'!$C$41)^('CashFlow-Office'!D$7-1)/(YEAR(PhaseIConEnd)-YEAR(PhaseIConBegin)+1)</f>
        <v>0</v>
      </c>
      <c r="E45" s="242">
        <f>-(AND(E$8&gt;=YEAR(PhaseIConBegin),E$8&lt;=YEAR(PhaseIConEnd)))*SUM($D12:$N12)*SUM('Assumptions-Overall'!$M$23:$M$24)*(1+'Assumptions-Overall'!$C$41)^('CashFlow-Office'!E$7-1)/(YEAR(PhaseIConEnd)-YEAR(PhaseIConBegin)+1)</f>
        <v>0</v>
      </c>
      <c r="F45" s="242">
        <f>-(AND(F$8&gt;=YEAR(PhaseIConBegin),F$8&lt;=YEAR(PhaseIConEnd)))*SUM($D12:$N12)*SUM('Assumptions-Overall'!$M$23:$M$24)*(1+'Assumptions-Overall'!$C$41)^('CashFlow-Office'!F$7-1)/(YEAR(PhaseIConEnd)-YEAR(PhaseIConBegin)+1)</f>
        <v>-135549283.38</v>
      </c>
      <c r="G45" s="242">
        <f>-(AND(G$8&gt;=YEAR(PhaseIConBegin),G$8&lt;=YEAR(PhaseIConEnd)))*SUM($D12:$N12)*SUM('Assumptions-Overall'!$M$23:$M$24)*(1+'Assumptions-Overall'!$C$41)^('CashFlow-Office'!G$7-1)/(YEAR(PhaseIConEnd)-YEAR(PhaseIConBegin)+1)</f>
        <v>-139615761.88139999</v>
      </c>
      <c r="H45" s="242">
        <f>-(AND(H$8&gt;=YEAR(PhaseIConBegin),H$8&lt;=YEAR(PhaseIConEnd)))*SUM($D12:$N12)*SUM('Assumptions-Overall'!$M$23:$M$24)*(1+'Assumptions-Overall'!$C$41)^('CashFlow-Office'!H$7-1)/(YEAR(PhaseIConEnd)-YEAR(PhaseIConBegin)+1)</f>
        <v>0</v>
      </c>
      <c r="I45" s="242">
        <f>-(AND(I$8&gt;=YEAR(PhaseIConBegin),I$8&lt;=YEAR(PhaseIConEnd)))*SUM($D12:$N12)*SUM('Assumptions-Overall'!$M$23:$M$24)*(1+'Assumptions-Overall'!$C$41)^('CashFlow-Office'!I$7-1)/(YEAR(PhaseIConEnd)-YEAR(PhaseIConBegin)+1)</f>
        <v>0</v>
      </c>
      <c r="J45" s="242">
        <f>-(AND(J$8&gt;=YEAR(PhaseIConBegin),J$8&lt;=YEAR(PhaseIConEnd)))*SUM($D12:$N12)*SUM('Assumptions-Overall'!$M$23:$M$24)*(1+'Assumptions-Overall'!$C$41)^('CashFlow-Office'!J$7-1)/(YEAR(PhaseIConEnd)-YEAR(PhaseIConBegin)+1)</f>
        <v>0</v>
      </c>
      <c r="K45" s="242">
        <f>-(AND(K$8&gt;=YEAR(PhaseIConBegin),K$8&lt;=YEAR(PhaseIConEnd)))*SUM($D12:$N12)*SUM('Assumptions-Overall'!$M$23:$M$24)*(1+'Assumptions-Overall'!$C$41)^('CashFlow-Office'!K$7-1)/(YEAR(PhaseIConEnd)-YEAR(PhaseIConBegin)+1)</f>
        <v>0</v>
      </c>
      <c r="L45" s="242">
        <f>-(AND(L$8&gt;=YEAR(PhaseIConBegin),L$8&lt;=YEAR(PhaseIConEnd)))*SUM($D12:$N12)*SUM('Assumptions-Overall'!$M$23:$M$24)*(1+'Assumptions-Overall'!$C$41)^('CashFlow-Office'!L$7-1)/(YEAR(PhaseIConEnd)-YEAR(PhaseIConBegin)+1)</f>
        <v>0</v>
      </c>
      <c r="M45" s="242">
        <f>-(AND(M$8&gt;=YEAR(PhaseIConBegin),M$8&lt;=YEAR(PhaseIConEnd)))*SUM($D12:$N12)*SUM('Assumptions-Overall'!$M$23:$M$24)*(1+'Assumptions-Overall'!$C$41)^('CashFlow-Office'!M$7-1)/(YEAR(PhaseIConEnd)-YEAR(PhaseIConBegin)+1)</f>
        <v>0</v>
      </c>
      <c r="N45" s="247"/>
    </row>
    <row r="46" spans="2:14" x14ac:dyDescent="0.2">
      <c r="B46" s="4" t="s">
        <v>312</v>
      </c>
      <c r="C46" s="12"/>
      <c r="D46" s="242">
        <f>(AND(D$8&gt;=YEAR(PhaseIPreconBegin),D$8&lt;=YEAR(PhaseIConEnd)))*SUM($D45:$N45)*'Assumptions-Overall'!$H$43/(YEAR(PhaseIConEnd)-YEAR(PhaseIPreconBegin)+1)</f>
        <v>-4127475.6789209996</v>
      </c>
      <c r="E46" s="242">
        <f>(AND(E$8&gt;=YEAR(PhaseIPreconBegin),E$8&lt;=YEAR(PhaseIConEnd)))*SUM($D45:$N45)*'Assumptions-Overall'!$H$43/(YEAR(PhaseIConEnd)-YEAR(PhaseIPreconBegin)+1)</f>
        <v>-4127475.6789209996</v>
      </c>
      <c r="F46" s="242">
        <f>(AND(F$8&gt;=YEAR(PhaseIPreconBegin),F$8&lt;=YEAR(PhaseIConEnd)))*SUM($D45:$N45)*'Assumptions-Overall'!$H$43/(YEAR(PhaseIConEnd)-YEAR(PhaseIPreconBegin)+1)</f>
        <v>-4127475.6789209996</v>
      </c>
      <c r="G46" s="242">
        <f>(AND(G$8&gt;=YEAR(PhaseIPreconBegin),G$8&lt;=YEAR(PhaseIConEnd)))*SUM($D45:$N45)*'Assumptions-Overall'!$H$43/(YEAR(PhaseIConEnd)-YEAR(PhaseIPreconBegin)+1)</f>
        <v>-4127475.6789209996</v>
      </c>
      <c r="H46" s="242">
        <f>(AND(H$8&gt;=YEAR(PhaseIPreconBegin),H$8&lt;=YEAR(PhaseIConEnd)))*SUM($D45:$N45)*'Assumptions-Overall'!$H$43/(YEAR(PhaseIConEnd)-YEAR(PhaseIPreconBegin)+1)</f>
        <v>0</v>
      </c>
      <c r="I46" s="242">
        <f>(AND(I$8&gt;=YEAR(PhaseIPreconBegin),I$8&lt;=YEAR(PhaseIConEnd)))*SUM($D45:$N45)*'Assumptions-Overall'!$H$43/(YEAR(PhaseIConEnd)-YEAR(PhaseIPreconBegin)+1)</f>
        <v>0</v>
      </c>
      <c r="J46" s="242">
        <f>(AND(J$8&gt;=YEAR(PhaseIPreconBegin),J$8&lt;=YEAR(PhaseIConEnd)))*SUM($D45:$N45)*'Assumptions-Overall'!$H$43/(YEAR(PhaseIConEnd)-YEAR(PhaseIPreconBegin)+1)</f>
        <v>0</v>
      </c>
      <c r="K46" s="242">
        <f>(AND(K$8&gt;=YEAR(PhaseIPreconBegin),K$8&lt;=YEAR(PhaseIConEnd)))*SUM($D45:$N45)*'Assumptions-Overall'!$H$43/(YEAR(PhaseIConEnd)-YEAR(PhaseIPreconBegin)+1)</f>
        <v>0</v>
      </c>
      <c r="L46" s="242">
        <f>(AND(L$8&gt;=YEAR(PhaseIPreconBegin),L$8&lt;=YEAR(PhaseIConEnd)))*SUM($D45:$N45)*'Assumptions-Overall'!$H$43/(YEAR(PhaseIConEnd)-YEAR(PhaseIPreconBegin)+1)</f>
        <v>0</v>
      </c>
      <c r="M46" s="242">
        <f>(AND(M$8&gt;=YEAR(PhaseIPreconBegin),M$8&lt;=YEAR(PhaseIConEnd)))*SUM($D45:$N45)*'Assumptions-Overall'!$H$43/(YEAR(PhaseIConEnd)-YEAR(PhaseIPreconBegin)+1)</f>
        <v>0</v>
      </c>
      <c r="N46" s="247"/>
    </row>
    <row r="47" spans="2:14" x14ac:dyDescent="0.2">
      <c r="B47" s="4" t="s">
        <v>183</v>
      </c>
      <c r="C47" s="12"/>
      <c r="D47" s="242">
        <f>(AND(D$8&gt;=YEAR(PhaseIPreconBegin),D$8&lt;=YEAR(PhaseIConEnd)))*SUM($D45:$N45)*'Assumptions-Overall'!$H$44/(YEAR(PhaseIConEnd)-YEAR(PhaseIPreconBegin)+1)</f>
        <v>-10318689.1973025</v>
      </c>
      <c r="E47" s="242">
        <f>(AND(E$8&gt;=YEAR(PhaseIPreconBegin),E$8&lt;=YEAR(PhaseIConEnd)))*SUM($D45:$N45)*'Assumptions-Overall'!$H$44/(YEAR(PhaseIConEnd)-YEAR(PhaseIPreconBegin)+1)</f>
        <v>-10318689.1973025</v>
      </c>
      <c r="F47" s="242">
        <f>(AND(F$8&gt;=YEAR(PhaseIPreconBegin),F$8&lt;=YEAR(PhaseIConEnd)))*SUM($D45:$N45)*'Assumptions-Overall'!$H$44/(YEAR(PhaseIConEnd)-YEAR(PhaseIPreconBegin)+1)</f>
        <v>-10318689.1973025</v>
      </c>
      <c r="G47" s="242">
        <f>(AND(G$8&gt;=YEAR(PhaseIPreconBegin),G$8&lt;=YEAR(PhaseIConEnd)))*SUM($D45:$N45)*'Assumptions-Overall'!$H$44/(YEAR(PhaseIConEnd)-YEAR(PhaseIPreconBegin)+1)</f>
        <v>-10318689.1973025</v>
      </c>
      <c r="H47" s="242">
        <f>(AND(H$8&gt;=YEAR(PhaseIPreconBegin),H$8&lt;=YEAR(PhaseIConEnd)))*SUM($D45:$N45)*'Assumptions-Overall'!$H$44/(YEAR(PhaseIConEnd)-YEAR(PhaseIPreconBegin)+1)</f>
        <v>0</v>
      </c>
      <c r="I47" s="242">
        <f>(AND(I$8&gt;=YEAR(PhaseIPreconBegin),I$8&lt;=YEAR(PhaseIConEnd)))*SUM($D45:$N45)*'Assumptions-Overall'!$H$44/(YEAR(PhaseIConEnd)-YEAR(PhaseIPreconBegin)+1)</f>
        <v>0</v>
      </c>
      <c r="J47" s="242">
        <f>(AND(J$8&gt;=YEAR(PhaseIPreconBegin),J$8&lt;=YEAR(PhaseIConEnd)))*SUM($D45:$N45)*'Assumptions-Overall'!$H$44/(YEAR(PhaseIConEnd)-YEAR(PhaseIPreconBegin)+1)</f>
        <v>0</v>
      </c>
      <c r="K47" s="242">
        <f>(AND(K$8&gt;=YEAR(PhaseIPreconBegin),K$8&lt;=YEAR(PhaseIConEnd)))*SUM($D45:$N45)*'Assumptions-Overall'!$H$44/(YEAR(PhaseIConEnd)-YEAR(PhaseIPreconBegin)+1)</f>
        <v>0</v>
      </c>
      <c r="L47" s="242">
        <f>(AND(L$8&gt;=YEAR(PhaseIPreconBegin),L$8&lt;=YEAR(PhaseIConEnd)))*SUM($D45:$N45)*'Assumptions-Overall'!$H$44/(YEAR(PhaseIConEnd)-YEAR(PhaseIPreconBegin)+1)</f>
        <v>0</v>
      </c>
      <c r="M47" s="242">
        <f>(AND(M$8&gt;=YEAR(PhaseIPreconBegin),M$8&lt;=YEAR(PhaseIConEnd)))*SUM($D45:$N45)*'Assumptions-Overall'!$H$44/(YEAR(PhaseIConEnd)-YEAR(PhaseIPreconBegin)+1)</f>
        <v>0</v>
      </c>
      <c r="N47" s="247"/>
    </row>
    <row r="48" spans="2:14" x14ac:dyDescent="0.2">
      <c r="B48" s="4" t="s">
        <v>184</v>
      </c>
      <c r="C48" s="12"/>
      <c r="D48" s="240">
        <f>SUM(D45:D47)*'Assumptions-Overall'!$H$45</f>
        <v>-433384.94628670497</v>
      </c>
      <c r="E48" s="240">
        <f>SUM(E45:E47)*'Assumptions-Overall'!$H$45</f>
        <v>-433384.94628670497</v>
      </c>
      <c r="F48" s="240">
        <f>SUM(F45:F47)*'Assumptions-Overall'!$H$45</f>
        <v>-4499863.4476867048</v>
      </c>
      <c r="G48" s="240">
        <f>SUM(G45:G47)*'Assumptions-Overall'!$H$45</f>
        <v>-4621857.8027287042</v>
      </c>
      <c r="H48" s="240">
        <f>SUM(H45:H47)*'Assumptions-Overall'!$H$45</f>
        <v>0</v>
      </c>
      <c r="I48" s="240">
        <f>SUM(I45:I47)*'Assumptions-Overall'!$H$45</f>
        <v>0</v>
      </c>
      <c r="J48" s="240">
        <f>SUM(J45:J47)*'Assumptions-Overall'!$H$45</f>
        <v>0</v>
      </c>
      <c r="K48" s="240">
        <f>SUM(K45:K47)*'Assumptions-Overall'!$H$45</f>
        <v>0</v>
      </c>
      <c r="L48" s="240">
        <f>SUM(L45:L47)*'Assumptions-Overall'!$H$45</f>
        <v>0</v>
      </c>
      <c r="M48" s="240">
        <f>SUM(M45:M47)*'Assumptions-Overall'!$H$45</f>
        <v>0</v>
      </c>
      <c r="N48" s="247"/>
    </row>
    <row r="49" spans="2:14" x14ac:dyDescent="0.2">
      <c r="B49" s="4" t="s">
        <v>313</v>
      </c>
      <c r="C49" s="12"/>
      <c r="D49" s="242">
        <f>SUM(D45:D48)</f>
        <v>-14879549.822510203</v>
      </c>
      <c r="E49" s="242">
        <f t="shared" ref="E49:M49" si="9">SUM(E45:E48)</f>
        <v>-14879549.822510203</v>
      </c>
      <c r="F49" s="242">
        <f t="shared" si="9"/>
        <v>-154495311.7039102</v>
      </c>
      <c r="G49" s="242">
        <f t="shared" si="9"/>
        <v>-158683784.56035221</v>
      </c>
      <c r="H49" s="242">
        <f t="shared" si="9"/>
        <v>0</v>
      </c>
      <c r="I49" s="242">
        <f t="shared" si="9"/>
        <v>0</v>
      </c>
      <c r="J49" s="242">
        <f t="shared" si="9"/>
        <v>0</v>
      </c>
      <c r="K49" s="242">
        <f t="shared" si="9"/>
        <v>0</v>
      </c>
      <c r="L49" s="242">
        <f t="shared" si="9"/>
        <v>0</v>
      </c>
      <c r="M49" s="242">
        <f t="shared" si="9"/>
        <v>0</v>
      </c>
      <c r="N49" s="247"/>
    </row>
    <row r="50" spans="2:14" x14ac:dyDescent="0.2">
      <c r="B50" s="4"/>
      <c r="C50" s="1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7"/>
    </row>
    <row r="51" spans="2:14" x14ac:dyDescent="0.2">
      <c r="B51" s="53" t="s">
        <v>314</v>
      </c>
      <c r="C51" s="1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7"/>
    </row>
    <row r="52" spans="2:14" x14ac:dyDescent="0.2">
      <c r="B52" s="4" t="s">
        <v>316</v>
      </c>
      <c r="C52" s="12"/>
      <c r="D52" s="242">
        <f>(D$8=YEAR('Assumptions-Overall'!$C$30))*E38/'Assumptions-Overall'!$Y$18</f>
        <v>0</v>
      </c>
      <c r="E52" s="242">
        <f>(E$8=YEAR('Assumptions-Overall'!$C$30))*F38/'Assumptions-Overall'!$Y$18</f>
        <v>0</v>
      </c>
      <c r="F52" s="242">
        <f>(F$8=YEAR('Assumptions-Overall'!$C$30))*G38/'Assumptions-Overall'!$Y$18</f>
        <v>0</v>
      </c>
      <c r="G52" s="242">
        <f>(G$8=YEAR('Assumptions-Overall'!$C$30))*H38/'Assumptions-Overall'!$Y$18</f>
        <v>0</v>
      </c>
      <c r="H52" s="242">
        <f>(H$8=YEAR('Assumptions-Overall'!$C$30))*I38/'Assumptions-Overall'!$Y$18</f>
        <v>0</v>
      </c>
      <c r="I52" s="242">
        <f>(I$8=YEAR('Assumptions-Overall'!$C$30))*J38/'Assumptions-Overall'!$Y$18</f>
        <v>0</v>
      </c>
      <c r="J52" s="242">
        <f>(J$8=YEAR('Assumptions-Overall'!$C$30))*K38/'Assumptions-Overall'!$Y$18</f>
        <v>0</v>
      </c>
      <c r="K52" s="242">
        <f>(K$8=YEAR('Assumptions-Overall'!$C$30))*L38/'Assumptions-Overall'!$Y$18</f>
        <v>0</v>
      </c>
      <c r="L52" s="242">
        <f>(L$8=YEAR('Assumptions-Overall'!$C$30))*M38/'Assumptions-Overall'!$Y$18</f>
        <v>0</v>
      </c>
      <c r="M52" s="242">
        <f>(M$8=YEAR('Assumptions-Overall'!$C$30))*N38/'Assumptions-Overall'!$Y$18</f>
        <v>755708355.18978655</v>
      </c>
      <c r="N52" s="247"/>
    </row>
    <row r="53" spans="2:14" x14ac:dyDescent="0.2">
      <c r="B53" s="4" t="s">
        <v>317</v>
      </c>
      <c r="C53" s="12"/>
      <c r="D53" s="240">
        <f>-D52*'Assumptions-Overall'!$U$27</f>
        <v>0</v>
      </c>
      <c r="E53" s="240">
        <f>-E52*'Assumptions-Overall'!$U$27</f>
        <v>0</v>
      </c>
      <c r="F53" s="240">
        <f>-F52*'Assumptions-Overall'!$U$27</f>
        <v>0</v>
      </c>
      <c r="G53" s="240">
        <f>-G52*'Assumptions-Overall'!$U$27</f>
        <v>0</v>
      </c>
      <c r="H53" s="240">
        <f>-H52*'Assumptions-Overall'!$U$27</f>
        <v>0</v>
      </c>
      <c r="I53" s="240">
        <f>-I52*'Assumptions-Overall'!$U$27</f>
        <v>0</v>
      </c>
      <c r="J53" s="240">
        <f>-J52*'Assumptions-Overall'!$U$27</f>
        <v>0</v>
      </c>
      <c r="K53" s="240">
        <f>-K52*'Assumptions-Overall'!$U$27</f>
        <v>0</v>
      </c>
      <c r="L53" s="240">
        <f>-L52*'Assumptions-Overall'!$U$27</f>
        <v>0</v>
      </c>
      <c r="M53" s="240">
        <f>-M52*'Assumptions-Overall'!$U$27</f>
        <v>-7557083.5518978657</v>
      </c>
      <c r="N53" s="247"/>
    </row>
    <row r="54" spans="2:14" x14ac:dyDescent="0.2">
      <c r="B54" s="4" t="s">
        <v>318</v>
      </c>
      <c r="C54" s="12"/>
      <c r="D54" s="242">
        <f>SUM(D52:D53)</f>
        <v>0</v>
      </c>
      <c r="E54" s="242">
        <f t="shared" ref="E54:M54" si="10">SUM(E52:E53)</f>
        <v>0</v>
      </c>
      <c r="F54" s="242">
        <f t="shared" si="10"/>
        <v>0</v>
      </c>
      <c r="G54" s="242">
        <f t="shared" si="10"/>
        <v>0</v>
      </c>
      <c r="H54" s="242">
        <f t="shared" si="10"/>
        <v>0</v>
      </c>
      <c r="I54" s="242">
        <f t="shared" si="10"/>
        <v>0</v>
      </c>
      <c r="J54" s="242">
        <f t="shared" si="10"/>
        <v>0</v>
      </c>
      <c r="K54" s="242">
        <f t="shared" si="10"/>
        <v>0</v>
      </c>
      <c r="L54" s="242">
        <f t="shared" si="10"/>
        <v>0</v>
      </c>
      <c r="M54" s="242">
        <f t="shared" si="10"/>
        <v>748151271.63788867</v>
      </c>
      <c r="N54" s="247"/>
    </row>
    <row r="55" spans="2:14" x14ac:dyDescent="0.2">
      <c r="B55" s="4"/>
      <c r="C55" s="1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7"/>
    </row>
    <row r="56" spans="2:14" x14ac:dyDescent="0.2">
      <c r="B56" s="4" t="s">
        <v>315</v>
      </c>
      <c r="C56" s="12"/>
      <c r="D56" s="242">
        <f t="shared" ref="D56:M56" si="11">D42+D49+D54</f>
        <v>-14879549.822510203</v>
      </c>
      <c r="E56" s="242">
        <f t="shared" si="11"/>
        <v>-14879549.822510203</v>
      </c>
      <c r="F56" s="242">
        <f t="shared" si="11"/>
        <v>-154495311.7039102</v>
      </c>
      <c r="G56" s="242">
        <f t="shared" si="11"/>
        <v>-158683784.56035221</v>
      </c>
      <c r="H56" s="242">
        <f t="shared" si="11"/>
        <v>16928634.51333876</v>
      </c>
      <c r="I56" s="242">
        <f t="shared" si="11"/>
        <v>29165351.825116258</v>
      </c>
      <c r="J56" s="242">
        <f t="shared" si="11"/>
        <v>30040312.379869752</v>
      </c>
      <c r="K56" s="242">
        <f t="shared" si="11"/>
        <v>30941521.75126585</v>
      </c>
      <c r="L56" s="242">
        <f t="shared" si="11"/>
        <v>31869767.40380381</v>
      </c>
      <c r="M56" s="242">
        <f t="shared" si="11"/>
        <v>780977132.06380665</v>
      </c>
      <c r="N56" s="247"/>
    </row>
    <row r="57" spans="2:14" x14ac:dyDescent="0.2">
      <c r="B57" s="4" t="s">
        <v>320</v>
      </c>
      <c r="C57" s="254">
        <f>IFERROR(IRR(D56:M56),"n/a")</f>
        <v>0.17317740616867527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7"/>
    </row>
    <row r="58" spans="2:14" ht="12.75" thickBot="1" x14ac:dyDescent="0.25">
      <c r="B58" s="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</row>
    <row r="59" spans="2:14" x14ac:dyDescent="0.2">
      <c r="B59" s="250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2"/>
    </row>
    <row r="60" spans="2:14" x14ac:dyDescent="0.2">
      <c r="B60" s="243" t="s">
        <v>297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</row>
    <row r="61" spans="2:14" x14ac:dyDescent="0.2">
      <c r="B61" s="4" t="s">
        <v>293</v>
      </c>
      <c r="C61" s="12"/>
      <c r="D61" s="244">
        <f t="shared" ref="D61:N61" si="12">SUM(D65:D66)</f>
        <v>0</v>
      </c>
      <c r="E61" s="244">
        <f t="shared" si="12"/>
        <v>0</v>
      </c>
      <c r="F61" s="244">
        <f t="shared" si="12"/>
        <v>0</v>
      </c>
      <c r="G61" s="244">
        <f t="shared" si="12"/>
        <v>0</v>
      </c>
      <c r="H61" s="244">
        <f t="shared" si="12"/>
        <v>0</v>
      </c>
      <c r="I61" s="244">
        <f t="shared" si="12"/>
        <v>0</v>
      </c>
      <c r="J61" s="244">
        <f t="shared" si="12"/>
        <v>505564.00000000006</v>
      </c>
      <c r="K61" s="244">
        <f t="shared" si="12"/>
        <v>505564.00000000006</v>
      </c>
      <c r="L61" s="244">
        <f t="shared" si="12"/>
        <v>505564.00000000006</v>
      </c>
      <c r="M61" s="244">
        <f t="shared" si="12"/>
        <v>505564.00000000006</v>
      </c>
      <c r="N61" s="245">
        <f t="shared" si="12"/>
        <v>505564.00000000006</v>
      </c>
    </row>
    <row r="62" spans="2:14" x14ac:dyDescent="0.2">
      <c r="B62" s="4" t="s">
        <v>294</v>
      </c>
      <c r="C62" s="12"/>
      <c r="D62" s="244">
        <f>D61-C61</f>
        <v>0</v>
      </c>
      <c r="E62" s="244">
        <f t="shared" ref="E62" si="13">E61-D61</f>
        <v>0</v>
      </c>
      <c r="F62" s="244">
        <f t="shared" ref="F62" si="14">F61-E61</f>
        <v>0</v>
      </c>
      <c r="G62" s="244">
        <f t="shared" ref="G62" si="15">G61-F61</f>
        <v>0</v>
      </c>
      <c r="H62" s="244">
        <f t="shared" ref="H62" si="16">H61-G61</f>
        <v>0</v>
      </c>
      <c r="I62" s="244">
        <f t="shared" ref="I62" si="17">I61-H61</f>
        <v>0</v>
      </c>
      <c r="J62" s="244">
        <f t="shared" ref="J62" si="18">J61-I61</f>
        <v>505564.00000000006</v>
      </c>
      <c r="K62" s="244">
        <f t="shared" ref="K62" si="19">K61-J61</f>
        <v>0</v>
      </c>
      <c r="L62" s="244">
        <f t="shared" ref="L62" si="20">L61-K61</f>
        <v>0</v>
      </c>
      <c r="M62" s="244">
        <f t="shared" ref="M62" si="21">M61-L61</f>
        <v>0</v>
      </c>
      <c r="N62" s="245">
        <f t="shared" ref="N62" si="22">N61-M61</f>
        <v>0</v>
      </c>
    </row>
    <row r="63" spans="2:14" x14ac:dyDescent="0.2">
      <c r="B63" s="4"/>
      <c r="C63" s="12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5"/>
    </row>
    <row r="64" spans="2:14" x14ac:dyDescent="0.2">
      <c r="B64" s="53" t="s">
        <v>331</v>
      </c>
      <c r="C64" s="12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5"/>
    </row>
    <row r="65" spans="2:14" x14ac:dyDescent="0.2">
      <c r="B65" s="4" t="str">
        <f>B20</f>
        <v>Market Rate Office Space</v>
      </c>
      <c r="C65" s="12"/>
      <c r="D65" s="244">
        <f>(D$8&gt;=YEAR(PhaseIIComplete))*'Assumptions-Office'!$E9</f>
        <v>0</v>
      </c>
      <c r="E65" s="244">
        <f>(E$8&gt;=YEAR(PhaseIIComplete))*'Assumptions-Office'!$E9</f>
        <v>0</v>
      </c>
      <c r="F65" s="244">
        <f>(F$8&gt;=YEAR(PhaseIIComplete))*'Assumptions-Office'!$E9</f>
        <v>0</v>
      </c>
      <c r="G65" s="244">
        <f>(G$8&gt;=YEAR(PhaseIIComplete))*'Assumptions-Office'!$E9</f>
        <v>0</v>
      </c>
      <c r="H65" s="244">
        <f>(H$8&gt;=YEAR(PhaseIIComplete))*'Assumptions-Office'!$E9</f>
        <v>0</v>
      </c>
      <c r="I65" s="244">
        <f>(I$8&gt;=YEAR(PhaseIIComplete))*'Assumptions-Office'!$E9</f>
        <v>0</v>
      </c>
      <c r="J65" s="244">
        <f>(J$8&gt;=YEAR(PhaseIIComplete))*'Assumptions-Office'!$E9</f>
        <v>455007.60000000003</v>
      </c>
      <c r="K65" s="244">
        <f>(K$8&gt;=YEAR(PhaseIIComplete))*'Assumptions-Office'!$E9</f>
        <v>455007.60000000003</v>
      </c>
      <c r="L65" s="244">
        <f>(L$8&gt;=YEAR(PhaseIIComplete))*'Assumptions-Office'!$E9</f>
        <v>455007.60000000003</v>
      </c>
      <c r="M65" s="244">
        <f>(M$8&gt;=YEAR(PhaseIIComplete))*'Assumptions-Office'!$E9</f>
        <v>455007.60000000003</v>
      </c>
      <c r="N65" s="245">
        <f>(N$8&gt;=YEAR(PhaseIIComplete))*'Assumptions-Office'!$E9</f>
        <v>455007.60000000003</v>
      </c>
    </row>
    <row r="66" spans="2:14" x14ac:dyDescent="0.2">
      <c r="B66" s="4" t="str">
        <f>B21</f>
        <v>Affordable Office Space</v>
      </c>
      <c r="C66" s="12"/>
      <c r="D66" s="244">
        <f>(D$8&gt;=YEAR(PhaseIIComplete))*'Assumptions-Office'!$E10</f>
        <v>0</v>
      </c>
      <c r="E66" s="244">
        <f>(E$8&gt;=YEAR(PhaseIIComplete))*'Assumptions-Office'!$E10</f>
        <v>0</v>
      </c>
      <c r="F66" s="244">
        <f>(F$8&gt;=YEAR(PhaseIIComplete))*'Assumptions-Office'!$E10</f>
        <v>0</v>
      </c>
      <c r="G66" s="244">
        <f>(G$8&gt;=YEAR(PhaseIIComplete))*'Assumptions-Office'!$E10</f>
        <v>0</v>
      </c>
      <c r="H66" s="244">
        <f>(H$8&gt;=YEAR(PhaseIIComplete))*'Assumptions-Office'!$E10</f>
        <v>0</v>
      </c>
      <c r="I66" s="244">
        <f>(I$8&gt;=YEAR(PhaseIIComplete))*'Assumptions-Office'!$E10</f>
        <v>0</v>
      </c>
      <c r="J66" s="244">
        <f>(J$8&gt;=YEAR(PhaseIIComplete))*'Assumptions-Office'!$E10</f>
        <v>50556.4</v>
      </c>
      <c r="K66" s="244">
        <f>(K$8&gt;=YEAR(PhaseIIComplete))*'Assumptions-Office'!$E10</f>
        <v>50556.4</v>
      </c>
      <c r="L66" s="244">
        <f>(L$8&gt;=YEAR(PhaseIIComplete))*'Assumptions-Office'!$E10</f>
        <v>50556.4</v>
      </c>
      <c r="M66" s="244">
        <f>(M$8&gt;=YEAR(PhaseIIComplete))*'Assumptions-Office'!$E10</f>
        <v>50556.4</v>
      </c>
      <c r="N66" s="245">
        <f>(N$8&gt;=YEAR(PhaseIIComplete))*'Assumptions-Office'!$E10</f>
        <v>50556.4</v>
      </c>
    </row>
    <row r="67" spans="2:14" x14ac:dyDescent="0.2">
      <c r="B67" s="4"/>
      <c r="C67" s="12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5"/>
    </row>
    <row r="68" spans="2:14" x14ac:dyDescent="0.2">
      <c r="B68" s="53" t="s">
        <v>307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</row>
    <row r="69" spans="2:14" x14ac:dyDescent="0.2">
      <c r="B69" s="4" t="s">
        <v>336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</row>
    <row r="70" spans="2:14" x14ac:dyDescent="0.2">
      <c r="B70" s="246" t="str">
        <f>B65</f>
        <v>Market Rate Office Space</v>
      </c>
      <c r="C70" s="12"/>
      <c r="D70" s="242">
        <f>D65*'Assumptions-Office'!$L9*(1+'Assumptions-Overall'!$C$35)^('CashFlow-Office'!D$7-1)</f>
        <v>0</v>
      </c>
      <c r="E70" s="242">
        <f>E65*'Assumptions-Office'!$L9*(1+'Assumptions-Overall'!$C$35)^('CashFlow-Office'!E$7-1)</f>
        <v>0</v>
      </c>
      <c r="F70" s="242">
        <f>F65*'Assumptions-Office'!$L9*(1+'Assumptions-Overall'!$C$35)^('CashFlow-Office'!F$7-1)</f>
        <v>0</v>
      </c>
      <c r="G70" s="242">
        <f>G65*'Assumptions-Office'!$L9*(1+'Assumptions-Overall'!$C$35)^('CashFlow-Office'!G$7-1)</f>
        <v>0</v>
      </c>
      <c r="H70" s="242">
        <f>H65*'Assumptions-Office'!$L9*(1+'Assumptions-Overall'!$C$35)^('CashFlow-Office'!H$7-1)</f>
        <v>0</v>
      </c>
      <c r="I70" s="242">
        <f>I65*'Assumptions-Office'!$L9*(1+'Assumptions-Overall'!$C$35)^('CashFlow-Office'!I$7-1)</f>
        <v>0</v>
      </c>
      <c r="J70" s="242">
        <f>J65*'Assumptions-Office'!$L9*(1+'Assumptions-Overall'!$C$35)^('CashFlow-Office'!J$7-1)</f>
        <v>20645509.049289647</v>
      </c>
      <c r="K70" s="242">
        <f>K65*'Assumptions-Office'!$L9*(1+'Assumptions-Overall'!$C$35)^('CashFlow-Office'!K$7-1)</f>
        <v>21264874.320768338</v>
      </c>
      <c r="L70" s="242">
        <f>L65*'Assumptions-Office'!$L9*(1+'Assumptions-Overall'!$C$35)^('CashFlow-Office'!L$7-1)</f>
        <v>21902820.550391383</v>
      </c>
      <c r="M70" s="242">
        <f>M65*'Assumptions-Office'!$L9*(1+'Assumptions-Overall'!$C$35)^('CashFlow-Office'!M$7-1)</f>
        <v>22559905.166903127</v>
      </c>
      <c r="N70" s="247">
        <f>N65*'Assumptions-Office'!$L9*(1+'Assumptions-Overall'!$C$35)^('CashFlow-Office'!N$7-1)</f>
        <v>23236702.321910221</v>
      </c>
    </row>
    <row r="71" spans="2:14" x14ac:dyDescent="0.2">
      <c r="B71" s="246" t="str">
        <f>B66</f>
        <v>Affordable Office Space</v>
      </c>
      <c r="C71" s="12"/>
      <c r="D71" s="240">
        <f>D66*'Assumptions-Office'!$L10*(1+'Assumptions-Overall'!$C$35)^('CashFlow-Office'!D$7-1)</f>
        <v>0</v>
      </c>
      <c r="E71" s="240">
        <f>E66*'Assumptions-Office'!$L10*(1+'Assumptions-Overall'!$C$35)^('CashFlow-Office'!E$7-1)</f>
        <v>0</v>
      </c>
      <c r="F71" s="240">
        <f>F66*'Assumptions-Office'!$L10*(1+'Assumptions-Overall'!$C$35)^('CashFlow-Office'!F$7-1)</f>
        <v>0</v>
      </c>
      <c r="G71" s="240">
        <f>G66*'Assumptions-Office'!$L10*(1+'Assumptions-Overall'!$C$35)^('CashFlow-Office'!G$7-1)</f>
        <v>0</v>
      </c>
      <c r="H71" s="240">
        <f>H66*'Assumptions-Office'!$L10*(1+'Assumptions-Overall'!$C$35)^('CashFlow-Office'!H$7-1)</f>
        <v>0</v>
      </c>
      <c r="I71" s="240">
        <f>I66*'Assumptions-Office'!$L10*(1+'Assumptions-Overall'!$C$35)^('CashFlow-Office'!I$7-1)</f>
        <v>0</v>
      </c>
      <c r="J71" s="240">
        <f>J66*'Assumptions-Office'!$L10*(1+'Assumptions-Overall'!$C$35)^('CashFlow-Office'!J$7-1)</f>
        <v>1949853.6324329111</v>
      </c>
      <c r="K71" s="240">
        <f>K66*'Assumptions-Office'!$L10*(1+'Assumptions-Overall'!$C$35)^('CashFlow-Office'!K$7-1)</f>
        <v>2008349.2414058985</v>
      </c>
      <c r="L71" s="240">
        <f>L66*'Assumptions-Office'!$L10*(1+'Assumptions-Overall'!$C$35)^('CashFlow-Office'!L$7-1)</f>
        <v>2068599.7186480751</v>
      </c>
      <c r="M71" s="240">
        <f>M66*'Assumptions-Office'!$L10*(1+'Assumptions-Overall'!$C$35)^('CashFlow-Office'!M$7-1)</f>
        <v>2130657.7102075173</v>
      </c>
      <c r="N71" s="248">
        <f>N66*'Assumptions-Office'!$L10*(1+'Assumptions-Overall'!$C$35)^('CashFlow-Office'!N$7-1)</f>
        <v>2194577.4415137428</v>
      </c>
    </row>
    <row r="72" spans="2:14" x14ac:dyDescent="0.2">
      <c r="B72" s="4" t="s">
        <v>337</v>
      </c>
      <c r="C72" s="12"/>
      <c r="D72" s="242">
        <f t="shared" ref="D72:N72" si="23">SUM(D70:D71)</f>
        <v>0</v>
      </c>
      <c r="E72" s="242">
        <f t="shared" si="23"/>
        <v>0</v>
      </c>
      <c r="F72" s="242">
        <f t="shared" si="23"/>
        <v>0</v>
      </c>
      <c r="G72" s="242">
        <f t="shared" si="23"/>
        <v>0</v>
      </c>
      <c r="H72" s="242">
        <f t="shared" si="23"/>
        <v>0</v>
      </c>
      <c r="I72" s="242">
        <f t="shared" si="23"/>
        <v>0</v>
      </c>
      <c r="J72" s="242">
        <f t="shared" si="23"/>
        <v>22595362.681722559</v>
      </c>
      <c r="K72" s="242">
        <f t="shared" si="23"/>
        <v>23273223.562174235</v>
      </c>
      <c r="L72" s="242">
        <f t="shared" si="23"/>
        <v>23971420.26903946</v>
      </c>
      <c r="M72" s="242">
        <f t="shared" si="23"/>
        <v>24690562.877110645</v>
      </c>
      <c r="N72" s="247">
        <f t="shared" si="23"/>
        <v>25431279.763423964</v>
      </c>
    </row>
    <row r="73" spans="2:14" x14ac:dyDescent="0.2">
      <c r="B73" s="4"/>
      <c r="C73" s="1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7"/>
    </row>
    <row r="74" spans="2:14" x14ac:dyDescent="0.2">
      <c r="B74" s="4" t="s">
        <v>338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2:14" x14ac:dyDescent="0.2">
      <c r="B75" s="246" t="str">
        <f>B70</f>
        <v>Market Rate Office Space</v>
      </c>
      <c r="C75" s="12"/>
      <c r="D75" s="242">
        <f>D65*'Assumptions-Office'!$N9*(1+'Assumptions-Overall'!$C$35)^('CashFlow-Office'!D$7-1)</f>
        <v>0</v>
      </c>
      <c r="E75" s="242">
        <f>E65*'Assumptions-Office'!$N9*(1+'Assumptions-Overall'!$C$35)^('CashFlow-Office'!E$7-1)</f>
        <v>0</v>
      </c>
      <c r="F75" s="242">
        <f>F65*'Assumptions-Office'!$N9*(1+'Assumptions-Overall'!$C$35)^('CashFlow-Office'!F$7-1)</f>
        <v>0</v>
      </c>
      <c r="G75" s="242">
        <f>G65*'Assumptions-Office'!$N9*(1+'Assumptions-Overall'!$C$35)^('CashFlow-Office'!G$7-1)</f>
        <v>0</v>
      </c>
      <c r="H75" s="242">
        <f>H65*'Assumptions-Office'!$N9*(1+'Assumptions-Overall'!$C$35)^('CashFlow-Office'!H$7-1)</f>
        <v>0</v>
      </c>
      <c r="I75" s="242">
        <f>I65*'Assumptions-Office'!$N9*(1+'Assumptions-Overall'!$C$35)^('CashFlow-Office'!I$7-1)</f>
        <v>0</v>
      </c>
      <c r="J75" s="242">
        <f>J65*'Assumptions-Office'!$N9*(1+'Assumptions-Overall'!$C$35)^('CashFlow-Office'!J$7-1)</f>
        <v>9779451.6549266744</v>
      </c>
      <c r="K75" s="242">
        <f>K65*'Assumptions-Office'!$N9*(1+'Assumptions-Overall'!$C$35)^('CashFlow-Office'!K$7-1)</f>
        <v>10072835.204574477</v>
      </c>
      <c r="L75" s="242">
        <f>L65*'Assumptions-Office'!$N9*(1+'Assumptions-Overall'!$C$35)^('CashFlow-Office'!L$7-1)</f>
        <v>10375020.260711709</v>
      </c>
      <c r="M75" s="242">
        <f>M65*'Assumptions-Office'!$N9*(1+'Assumptions-Overall'!$C$35)^('CashFlow-Office'!M$7-1)</f>
        <v>10686270.868533062</v>
      </c>
      <c r="N75" s="247">
        <f>N65*'Assumptions-Office'!$N9*(1+'Assumptions-Overall'!$C$35)^('CashFlow-Office'!N$7-1)</f>
        <v>11006858.994589053</v>
      </c>
    </row>
    <row r="76" spans="2:14" x14ac:dyDescent="0.2">
      <c r="B76" s="246" t="str">
        <f>B71</f>
        <v>Affordable Office Space</v>
      </c>
      <c r="C76" s="12"/>
      <c r="D76" s="240">
        <f>D66*'Assumptions-Office'!$N10*(1+'Assumptions-Overall'!$C$35)^('CashFlow-Office'!D$7-1)</f>
        <v>0</v>
      </c>
      <c r="E76" s="240">
        <f>E66*'Assumptions-Office'!$N10*(1+'Assumptions-Overall'!$C$35)^('CashFlow-Office'!E$7-1)</f>
        <v>0</v>
      </c>
      <c r="F76" s="240">
        <f>F66*'Assumptions-Office'!$N10*(1+'Assumptions-Overall'!$C$35)^('CashFlow-Office'!F$7-1)</f>
        <v>0</v>
      </c>
      <c r="G76" s="240">
        <f>G66*'Assumptions-Office'!$N10*(1+'Assumptions-Overall'!$C$35)^('CashFlow-Office'!G$7-1)</f>
        <v>0</v>
      </c>
      <c r="H76" s="240">
        <f>H66*'Assumptions-Office'!$N10*(1+'Assumptions-Overall'!$C$35)^('CashFlow-Office'!H$7-1)</f>
        <v>0</v>
      </c>
      <c r="I76" s="240">
        <f>I66*'Assumptions-Office'!$N10*(1+'Assumptions-Overall'!$C$35)^('CashFlow-Office'!I$7-1)</f>
        <v>0</v>
      </c>
      <c r="J76" s="240">
        <f>J66*'Assumptions-Office'!$N10*(1+'Assumptions-Overall'!$C$35)^('CashFlow-Office'!J$7-1)</f>
        <v>1086605.7394362972</v>
      </c>
      <c r="K76" s="240">
        <f>K66*'Assumptions-Office'!$N10*(1+'Assumptions-Overall'!$C$35)^('CashFlow-Office'!K$7-1)</f>
        <v>1119203.9116193862</v>
      </c>
      <c r="L76" s="240">
        <f>L66*'Assumptions-Office'!$N10*(1+'Assumptions-Overall'!$C$35)^('CashFlow-Office'!L$7-1)</f>
        <v>1152780.0289679677</v>
      </c>
      <c r="M76" s="240">
        <f>M66*'Assumptions-Office'!$N10*(1+'Assumptions-Overall'!$C$35)^('CashFlow-Office'!M$7-1)</f>
        <v>1187363.4298370068</v>
      </c>
      <c r="N76" s="248">
        <f>N66*'Assumptions-Office'!$N10*(1+'Assumptions-Overall'!$C$35)^('CashFlow-Office'!N$7-1)</f>
        <v>1222984.332732117</v>
      </c>
    </row>
    <row r="77" spans="2:14" x14ac:dyDescent="0.2">
      <c r="B77" s="4" t="s">
        <v>339</v>
      </c>
      <c r="C77" s="12"/>
      <c r="D77" s="242">
        <f t="shared" ref="D77:N77" si="24">SUM(D75:D76)</f>
        <v>0</v>
      </c>
      <c r="E77" s="242">
        <f t="shared" si="24"/>
        <v>0</v>
      </c>
      <c r="F77" s="242">
        <f t="shared" si="24"/>
        <v>0</v>
      </c>
      <c r="G77" s="242">
        <f t="shared" si="24"/>
        <v>0</v>
      </c>
      <c r="H77" s="242">
        <f t="shared" si="24"/>
        <v>0</v>
      </c>
      <c r="I77" s="242">
        <f t="shared" si="24"/>
        <v>0</v>
      </c>
      <c r="J77" s="242">
        <f t="shared" si="24"/>
        <v>10866057.394362971</v>
      </c>
      <c r="K77" s="242">
        <f t="shared" si="24"/>
        <v>11192039.116193863</v>
      </c>
      <c r="L77" s="242">
        <f t="shared" si="24"/>
        <v>11527800.289679676</v>
      </c>
      <c r="M77" s="242">
        <f t="shared" si="24"/>
        <v>11873634.298370069</v>
      </c>
      <c r="N77" s="247">
        <f t="shared" si="24"/>
        <v>12229843.32732117</v>
      </c>
    </row>
    <row r="78" spans="2:14" x14ac:dyDescent="0.2">
      <c r="B78" s="4"/>
      <c r="C78" s="1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7"/>
    </row>
    <row r="79" spans="2:14" x14ac:dyDescent="0.2">
      <c r="B79" s="4" t="s">
        <v>301</v>
      </c>
      <c r="C79" s="1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7"/>
    </row>
    <row r="80" spans="2:14" x14ac:dyDescent="0.2">
      <c r="B80" s="246" t="s">
        <v>332</v>
      </c>
      <c r="C80" s="12"/>
      <c r="D80" s="242">
        <f>-(D72+D77)*'Assumptions-Office'!$S$8</f>
        <v>0</v>
      </c>
      <c r="E80" s="242">
        <f>-(E72+E77)*'Assumptions-Office'!$S$8</f>
        <v>0</v>
      </c>
      <c r="F80" s="242">
        <f>-(F72+F77)*'Assumptions-Office'!$S$8</f>
        <v>0</v>
      </c>
      <c r="G80" s="242">
        <f>-(G72+G77)*'Assumptions-Office'!$S$8</f>
        <v>0</v>
      </c>
      <c r="H80" s="242">
        <f>-(H72+H77)*'Assumptions-Office'!$S$8</f>
        <v>0</v>
      </c>
      <c r="I80" s="242">
        <f>-(I72+I77)*'Assumptions-Office'!$S$8</f>
        <v>0</v>
      </c>
      <c r="J80" s="242">
        <f>-(J72+J77)*'Assumptions-Office'!$S$8</f>
        <v>-1673071.0038042767</v>
      </c>
      <c r="K80" s="242">
        <f>-(K72+K77)*'Assumptions-Office'!$S$8</f>
        <v>-1723263.133918405</v>
      </c>
      <c r="L80" s="242">
        <f>-(L72+L77)*'Assumptions-Office'!$S$8</f>
        <v>-1774961.0279359568</v>
      </c>
      <c r="M80" s="242">
        <f>-(M72+M77)*'Assumptions-Office'!$S$8</f>
        <v>-1828209.8587740359</v>
      </c>
      <c r="N80" s="247">
        <f>-(N72+N77)*'Assumptions-Office'!$S$8</f>
        <v>-1883056.1545372568</v>
      </c>
    </row>
    <row r="81" spans="2:14" x14ac:dyDescent="0.2">
      <c r="B81" s="246" t="s">
        <v>304</v>
      </c>
      <c r="C81" s="12"/>
      <c r="D81" s="240">
        <f>-(C72=0)*((D72+D77)*'Assumptions-Office'!$S$9+SUM('CashFlow-Office'!D80))</f>
        <v>0</v>
      </c>
      <c r="E81" s="240">
        <f>-(D72=0)*((E72+E77)*'Assumptions-Office'!$S$9+SUM('CashFlow-Office'!E80))</f>
        <v>0</v>
      </c>
      <c r="F81" s="240">
        <f>-(E72=0)*((F72+F77)*'Assumptions-Office'!$S$9+SUM('CashFlow-Office'!F80))</f>
        <v>0</v>
      </c>
      <c r="G81" s="240">
        <f>-(F72=0)*((G72+G77)*'Assumptions-Office'!$S$9+SUM('CashFlow-Office'!G80))</f>
        <v>0</v>
      </c>
      <c r="H81" s="240">
        <f>-(G72=0)*((H72+H77)*'Assumptions-Office'!$S$9+SUM('CashFlow-Office'!H80))</f>
        <v>0</v>
      </c>
      <c r="I81" s="240">
        <f>-(H72=0)*((I72+I77)*'Assumptions-Office'!$S$9+SUM('CashFlow-Office'!I80))</f>
        <v>0</v>
      </c>
      <c r="J81" s="240">
        <f>-(I72=0)*((J72+J77)*'Assumptions-Office'!$S$9+SUM('CashFlow-Office'!J80))</f>
        <v>-8365355.0190213816</v>
      </c>
      <c r="K81" s="240">
        <f>-(J72=0)*((K72+K77)*'Assumptions-Office'!$S$9+SUM('CashFlow-Office'!K80))</f>
        <v>0</v>
      </c>
      <c r="L81" s="240">
        <f>-(K72=0)*((L72+L77)*'Assumptions-Office'!$S$9+SUM('CashFlow-Office'!L80))</f>
        <v>0</v>
      </c>
      <c r="M81" s="240">
        <f>-(L72=0)*((M72+M77)*'Assumptions-Office'!$S$9+SUM('CashFlow-Office'!M80))</f>
        <v>0</v>
      </c>
      <c r="N81" s="248">
        <f>-(M72=0)*((N72+N77)*'Assumptions-Office'!$S$9+SUM('CashFlow-Office'!N80))</f>
        <v>0</v>
      </c>
    </row>
    <row r="82" spans="2:14" x14ac:dyDescent="0.2">
      <c r="B82" s="4" t="s">
        <v>305</v>
      </c>
      <c r="C82" s="12"/>
      <c r="D82" s="242">
        <f t="shared" ref="D82:N82" si="25">SUM(D80:D81)</f>
        <v>0</v>
      </c>
      <c r="E82" s="242">
        <f t="shared" si="25"/>
        <v>0</v>
      </c>
      <c r="F82" s="242">
        <f t="shared" si="25"/>
        <v>0</v>
      </c>
      <c r="G82" s="242">
        <f t="shared" si="25"/>
        <v>0</v>
      </c>
      <c r="H82" s="242">
        <f t="shared" si="25"/>
        <v>0</v>
      </c>
      <c r="I82" s="242">
        <f t="shared" si="25"/>
        <v>0</v>
      </c>
      <c r="J82" s="242">
        <f t="shared" si="25"/>
        <v>-10038426.022825658</v>
      </c>
      <c r="K82" s="242">
        <f t="shared" si="25"/>
        <v>-1723263.133918405</v>
      </c>
      <c r="L82" s="242">
        <f t="shared" si="25"/>
        <v>-1774961.0279359568</v>
      </c>
      <c r="M82" s="242">
        <f t="shared" si="25"/>
        <v>-1828209.8587740359</v>
      </c>
      <c r="N82" s="247">
        <f t="shared" si="25"/>
        <v>-1883056.1545372568</v>
      </c>
    </row>
    <row r="83" spans="2:14" x14ac:dyDescent="0.2">
      <c r="B83" s="4"/>
      <c r="C83" s="12"/>
      <c r="D83" s="242"/>
      <c r="E83" s="242"/>
      <c r="F83" s="242"/>
      <c r="G83" s="242"/>
      <c r="H83" s="211"/>
      <c r="I83" s="242"/>
      <c r="J83" s="242"/>
      <c r="K83" s="242"/>
      <c r="L83" s="242"/>
      <c r="M83" s="242"/>
      <c r="N83" s="247"/>
    </row>
    <row r="84" spans="2:14" x14ac:dyDescent="0.2">
      <c r="B84" s="4" t="s">
        <v>306</v>
      </c>
      <c r="C84" s="12"/>
      <c r="D84" s="241">
        <f t="shared" ref="D84:N84" si="26">D72+D77+D82</f>
        <v>0</v>
      </c>
      <c r="E84" s="241">
        <f t="shared" si="26"/>
        <v>0</v>
      </c>
      <c r="F84" s="241">
        <f t="shared" si="26"/>
        <v>0</v>
      </c>
      <c r="G84" s="241">
        <f t="shared" si="26"/>
        <v>0</v>
      </c>
      <c r="H84" s="241">
        <f t="shared" si="26"/>
        <v>0</v>
      </c>
      <c r="I84" s="241">
        <f t="shared" si="26"/>
        <v>0</v>
      </c>
      <c r="J84" s="241">
        <f t="shared" si="26"/>
        <v>23422994.053259872</v>
      </c>
      <c r="K84" s="241">
        <f t="shared" si="26"/>
        <v>32741999.544449694</v>
      </c>
      <c r="L84" s="241">
        <f t="shared" si="26"/>
        <v>33724259.530783176</v>
      </c>
      <c r="M84" s="241">
        <f t="shared" si="26"/>
        <v>34735987.31670668</v>
      </c>
      <c r="N84" s="249">
        <f t="shared" si="26"/>
        <v>35778066.936207876</v>
      </c>
    </row>
    <row r="85" spans="2:14" x14ac:dyDescent="0.2">
      <c r="B85" s="4"/>
      <c r="C85" s="1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7"/>
    </row>
    <row r="86" spans="2:14" x14ac:dyDescent="0.2">
      <c r="B86" s="4" t="s">
        <v>308</v>
      </c>
      <c r="C86" s="12"/>
      <c r="D86" s="242">
        <f>-D61*'Assumptions-Office'!$S$12*(1+'Assumptions-Overall'!$C$39)^('CashFlow-Office'!D$7-1)</f>
        <v>0</v>
      </c>
      <c r="E86" s="242">
        <f>-E61*'Assumptions-Office'!$S$12*(1+'Assumptions-Overall'!$C$39)^('CashFlow-Office'!E$7-1)</f>
        <v>0</v>
      </c>
      <c r="F86" s="242">
        <f>-F61*'Assumptions-Office'!$S$12*(1+'Assumptions-Overall'!$C$39)^('CashFlow-Office'!F$7-1)</f>
        <v>0</v>
      </c>
      <c r="G86" s="242">
        <f>-G61*'Assumptions-Office'!$S$12*(1+'Assumptions-Overall'!$C$39)^('CashFlow-Office'!G$7-1)</f>
        <v>0</v>
      </c>
      <c r="H86" s="242">
        <f>-H61*'Assumptions-Office'!$S$12*(1+'Assumptions-Overall'!$C$39)^('CashFlow-Office'!H$7-1)</f>
        <v>0</v>
      </c>
      <c r="I86" s="242">
        <f>-I61*'Assumptions-Office'!$S$12*(1+'Assumptions-Overall'!$C$39)^('CashFlow-Office'!I$7-1)</f>
        <v>0</v>
      </c>
      <c r="J86" s="242">
        <f>-J61*'Assumptions-Office'!$S$12*(1+'Assumptions-Overall'!$C$39)^('CashFlow-Office'!J$7-1)</f>
        <v>-10866057.394362973</v>
      </c>
      <c r="K86" s="242">
        <f>-K61*'Assumptions-Office'!$S$12*(1+'Assumptions-Overall'!$C$39)^('CashFlow-Office'!K$7-1)</f>
        <v>-11192039.116193864</v>
      </c>
      <c r="L86" s="242">
        <f>-L61*'Assumptions-Office'!$S$12*(1+'Assumptions-Overall'!$C$39)^('CashFlow-Office'!L$7-1)</f>
        <v>-11527800.289679678</v>
      </c>
      <c r="M86" s="242">
        <f>-M61*'Assumptions-Office'!$S$12*(1+'Assumptions-Overall'!$C$39)^('CashFlow-Office'!M$7-1)</f>
        <v>-11873634.298370069</v>
      </c>
      <c r="N86" s="247">
        <f>-N61*'Assumptions-Office'!$S$12*(1+'Assumptions-Overall'!$C$39)^('CashFlow-Office'!N$7-1)</f>
        <v>-12229843.327321172</v>
      </c>
    </row>
    <row r="87" spans="2:14" x14ac:dyDescent="0.2">
      <c r="B87" s="4"/>
      <c r="C87" s="1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7"/>
    </row>
    <row r="88" spans="2:14" x14ac:dyDescent="0.2">
      <c r="B88" s="4" t="s">
        <v>310</v>
      </c>
      <c r="C88" s="12"/>
      <c r="D88" s="241">
        <f>SUM(D84:D86)</f>
        <v>0</v>
      </c>
      <c r="E88" s="241">
        <f t="shared" ref="E88:N88" si="27">SUM(E84:E86)</f>
        <v>0</v>
      </c>
      <c r="F88" s="241">
        <f t="shared" si="27"/>
        <v>0</v>
      </c>
      <c r="G88" s="241">
        <f t="shared" si="27"/>
        <v>0</v>
      </c>
      <c r="H88" s="241">
        <f t="shared" si="27"/>
        <v>0</v>
      </c>
      <c r="I88" s="241">
        <f t="shared" si="27"/>
        <v>0</v>
      </c>
      <c r="J88" s="241">
        <f t="shared" si="27"/>
        <v>12556936.658896899</v>
      </c>
      <c r="K88" s="241">
        <f t="shared" si="27"/>
        <v>21549960.42825583</v>
      </c>
      <c r="L88" s="241">
        <f t="shared" si="27"/>
        <v>22196459.2411035</v>
      </c>
      <c r="M88" s="241">
        <f t="shared" si="27"/>
        <v>22862353.018336609</v>
      </c>
      <c r="N88" s="249">
        <f t="shared" si="27"/>
        <v>23548223.608886704</v>
      </c>
    </row>
    <row r="89" spans="2:14" x14ac:dyDescent="0.2">
      <c r="B89" s="4"/>
      <c r="C89" s="1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55"/>
    </row>
    <row r="90" spans="2:14" x14ac:dyDescent="0.2">
      <c r="B90" s="4" t="s">
        <v>283</v>
      </c>
      <c r="C90" s="12"/>
      <c r="D90" s="242">
        <f>-D61*'Assumptions-Office'!$S$14*(1+'Assumptions-Overall'!$C$40)^('CashFlow-Office'!D$7-1)</f>
        <v>0</v>
      </c>
      <c r="E90" s="242">
        <f>-E61*'Assumptions-Office'!$S$14*(1+'Assumptions-Overall'!$C$40)^('CashFlow-Office'!E$7-1)</f>
        <v>0</v>
      </c>
      <c r="F90" s="242">
        <f>-F61*'Assumptions-Office'!$S$14*(1+'Assumptions-Overall'!$C$40)^('CashFlow-Office'!F$7-1)</f>
        <v>0</v>
      </c>
      <c r="G90" s="242">
        <f>-G61*'Assumptions-Office'!$S$14*(1+'Assumptions-Overall'!$C$40)^('CashFlow-Office'!G$7-1)</f>
        <v>0</v>
      </c>
      <c r="H90" s="242">
        <f>-H61*'Assumptions-Office'!$S$14*(1+'Assumptions-Overall'!$C$40)^('CashFlow-Office'!H$7-1)</f>
        <v>0</v>
      </c>
      <c r="I90" s="242">
        <f>-I61*'Assumptions-Office'!$S$14*(1+'Assumptions-Overall'!$C$40)^('CashFlow-Office'!I$7-1)</f>
        <v>0</v>
      </c>
      <c r="J90" s="242">
        <f>-J61*'Assumptions-Office'!$S$14*(1+'Assumptions-Overall'!$C$40)^('CashFlow-Office'!J$7-1)</f>
        <v>-120733.97104847748</v>
      </c>
      <c r="K90" s="242">
        <f>-K61*'Assumptions-Office'!$S$14*(1+'Assumptions-Overall'!$C$40)^('CashFlow-Office'!K$7-1)</f>
        <v>-124355.99017993182</v>
      </c>
      <c r="L90" s="242">
        <f>-L61*'Assumptions-Office'!$S$14*(1+'Assumptions-Overall'!$C$40)^('CashFlow-Office'!L$7-1)</f>
        <v>-128086.66988532976</v>
      </c>
      <c r="M90" s="242">
        <f>-M61*'Assumptions-Office'!$S$14*(1+'Assumptions-Overall'!$C$40)^('CashFlow-Office'!M$7-1)</f>
        <v>-131929.26998188967</v>
      </c>
      <c r="N90" s="247"/>
    </row>
    <row r="91" spans="2:14" x14ac:dyDescent="0.2">
      <c r="B91" s="4"/>
      <c r="C91" s="1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7"/>
    </row>
    <row r="92" spans="2:14" x14ac:dyDescent="0.2">
      <c r="B92" s="4" t="s">
        <v>309</v>
      </c>
      <c r="C92" s="12"/>
      <c r="D92" s="241">
        <f>SUM(D88:D90)</f>
        <v>0</v>
      </c>
      <c r="E92" s="241">
        <f t="shared" ref="E92:M92" si="28">SUM(E88:E90)</f>
        <v>0</v>
      </c>
      <c r="F92" s="241">
        <f t="shared" si="28"/>
        <v>0</v>
      </c>
      <c r="G92" s="241">
        <f t="shared" si="28"/>
        <v>0</v>
      </c>
      <c r="H92" s="241">
        <f t="shared" si="28"/>
        <v>0</v>
      </c>
      <c r="I92" s="241">
        <f t="shared" si="28"/>
        <v>0</v>
      </c>
      <c r="J92" s="241">
        <f t="shared" si="28"/>
        <v>12436202.687848421</v>
      </c>
      <c r="K92" s="241">
        <f t="shared" si="28"/>
        <v>21425604.438075896</v>
      </c>
      <c r="L92" s="241">
        <f t="shared" si="28"/>
        <v>22068372.57121817</v>
      </c>
      <c r="M92" s="241">
        <f t="shared" si="28"/>
        <v>22730423.748354718</v>
      </c>
      <c r="N92" s="247"/>
    </row>
    <row r="93" spans="2:14" x14ac:dyDescent="0.2">
      <c r="B93" s="4"/>
      <c r="C93" s="1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7"/>
    </row>
    <row r="94" spans="2:14" x14ac:dyDescent="0.2">
      <c r="B94" s="53" t="s">
        <v>209</v>
      </c>
      <c r="C94" s="1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7"/>
    </row>
    <row r="95" spans="2:14" x14ac:dyDescent="0.2">
      <c r="B95" s="4" t="s">
        <v>311</v>
      </c>
      <c r="C95" s="12"/>
      <c r="D95" s="242">
        <f>-(AND(D$8&gt;=YEAR(PhaseIIConBegin),D$8&lt;=YEAR(PhaseIIConEnd)))*SUM($D62:$N62)*SUM('Assumptions-Overall'!$M$23:$M$24)*(1+'Assumptions-Overall'!$C$41)^('CashFlow-Office'!D$7-1)/(YEAR(PhaseIIConEnd)-YEAR(PhaseIIConBegin)+1)</f>
        <v>0</v>
      </c>
      <c r="E95" s="242">
        <f>-(AND(E$8&gt;=YEAR(PhaseIIConBegin),E$8&lt;=YEAR(PhaseIIConEnd)))*SUM($D62:$N62)*SUM('Assumptions-Overall'!$M$23:$M$24)*(1+'Assumptions-Overall'!$C$41)^('CashFlow-Office'!E$7-1)/(YEAR(PhaseIIConEnd)-YEAR(PhaseIIConBegin)+1)</f>
        <v>0</v>
      </c>
      <c r="F95" s="242">
        <f>-(AND(F$8&gt;=YEAR(PhaseIIConBegin),F$8&lt;=YEAR(PhaseIIConEnd)))*SUM($D62:$N62)*SUM('Assumptions-Overall'!$M$23:$M$24)*(1+'Assumptions-Overall'!$C$41)^('CashFlow-Office'!F$7-1)/(YEAR(PhaseIIConEnd)-YEAR(PhaseIIConBegin)+1)</f>
        <v>0</v>
      </c>
      <c r="G95" s="242">
        <f>-(AND(G$8&gt;=YEAR(PhaseIIConBegin),G$8&lt;=YEAR(PhaseIIConEnd)))*SUM($D62:$N62)*SUM('Assumptions-Overall'!$M$23:$M$24)*(1+'Assumptions-Overall'!$C$41)^('CashFlow-Office'!G$7-1)/(YEAR(PhaseIIConEnd)-YEAR(PhaseIIConBegin)+1)</f>
        <v>0</v>
      </c>
      <c r="H95" s="242">
        <f>-(AND(H$8&gt;=YEAR(PhaseIIConBegin),H$8&lt;=YEAR(PhaseIIConEnd)))*SUM($D62:$N62)*SUM('Assumptions-Overall'!$M$23:$M$24)*(1+'Assumptions-Overall'!$C$41)^('CashFlow-Office'!H$7-1)/(YEAR(PhaseIIConEnd)-YEAR(PhaseIIConBegin)+1)</f>
        <v>-99577928.803297013</v>
      </c>
      <c r="I95" s="242">
        <f>-(AND(I$8&gt;=YEAR(PhaseIIConBegin),I$8&lt;=YEAR(PhaseIIConEnd)))*SUM($D62:$N62)*SUM('Assumptions-Overall'!$M$23:$M$24)*(1+'Assumptions-Overall'!$C$41)^('CashFlow-Office'!I$7-1)/(YEAR(PhaseIIConEnd)-YEAR(PhaseIIConBegin)+1)</f>
        <v>-102565266.66739592</v>
      </c>
      <c r="J95" s="242">
        <f>-(AND(J$8&gt;=YEAR(PhaseIIConBegin),J$8&lt;=YEAR(PhaseIIConEnd)))*SUM($D62:$N62)*SUM('Assumptions-Overall'!$M$23:$M$24)*(1+'Assumptions-Overall'!$C$41)^('CashFlow-Office'!J$7-1)/(YEAR(PhaseIIConEnd)-YEAR(PhaseIIConBegin)+1)</f>
        <v>0</v>
      </c>
      <c r="K95" s="242">
        <f>-(AND(K$8&gt;=YEAR(PhaseIIConBegin),K$8&lt;=YEAR(PhaseIIConEnd)))*SUM($D62:$N62)*SUM('Assumptions-Overall'!$M$23:$M$24)*(1+'Assumptions-Overall'!$C$41)^('CashFlow-Office'!K$7-1)/(YEAR(PhaseIIConEnd)-YEAR(PhaseIIConBegin)+1)</f>
        <v>0</v>
      </c>
      <c r="L95" s="242">
        <f>-(AND(L$8&gt;=YEAR(PhaseIIConBegin),L$8&lt;=YEAR(PhaseIIConEnd)))*SUM($D62:$N62)*SUM('Assumptions-Overall'!$M$23:$M$24)*(1+'Assumptions-Overall'!$C$41)^('CashFlow-Office'!L$7-1)/(YEAR(PhaseIIConEnd)-YEAR(PhaseIIConBegin)+1)</f>
        <v>0</v>
      </c>
      <c r="M95" s="242">
        <f>-(AND(M$8&gt;=YEAR(PhaseIIConBegin),M$8&lt;=YEAR(PhaseIIConEnd)))*SUM($D62:$N62)*SUM('Assumptions-Overall'!$M$23:$M$24)*(1+'Assumptions-Overall'!$C$41)^('CashFlow-Office'!M$7-1)/(YEAR(PhaseIIConEnd)-YEAR(PhaseIIConBegin)+1)</f>
        <v>0</v>
      </c>
      <c r="N95" s="247"/>
    </row>
    <row r="96" spans="2:14" x14ac:dyDescent="0.2">
      <c r="B96" s="4" t="s">
        <v>312</v>
      </c>
      <c r="C96" s="12"/>
      <c r="D96" s="242">
        <f>(AND(D$8&gt;=YEAR(PhaseIIPreconBegin),D$8&lt;=YEAR(PhaseIIConEnd)))*SUM($D95:$N95)*'Assumptions-Overall'!$H$43/(YEAR(PhaseIIConEnd)-YEAR(PhaseIIPreconBegin)+1)</f>
        <v>0</v>
      </c>
      <c r="E96" s="242">
        <f>(AND(E$8&gt;=YEAR(PhaseIIPreconBegin),E$8&lt;=YEAR(PhaseIIConEnd)))*SUM($D95:$N95)*'Assumptions-Overall'!$H$43/(YEAR(PhaseIIConEnd)-YEAR(PhaseIIPreconBegin)+1)</f>
        <v>0</v>
      </c>
      <c r="F96" s="242">
        <f>(AND(F$8&gt;=YEAR(PhaseIIPreconBegin),F$8&lt;=YEAR(PhaseIIConEnd)))*SUM($D95:$N95)*'Assumptions-Overall'!$H$43/(YEAR(PhaseIIConEnd)-YEAR(PhaseIIPreconBegin)+1)</f>
        <v>-3032147.932060394</v>
      </c>
      <c r="G96" s="242">
        <f>(AND(G$8&gt;=YEAR(PhaseIIPreconBegin),G$8&lt;=YEAR(PhaseIIConEnd)))*SUM($D95:$N95)*'Assumptions-Overall'!$H$43/(YEAR(PhaseIIConEnd)-YEAR(PhaseIIPreconBegin)+1)</f>
        <v>-3032147.932060394</v>
      </c>
      <c r="H96" s="242">
        <f>(AND(H$8&gt;=YEAR(PhaseIIPreconBegin),H$8&lt;=YEAR(PhaseIIConEnd)))*SUM($D95:$N95)*'Assumptions-Overall'!$H$43/(YEAR(PhaseIIConEnd)-YEAR(PhaseIIPreconBegin)+1)</f>
        <v>-3032147.932060394</v>
      </c>
      <c r="I96" s="242">
        <f>(AND(I$8&gt;=YEAR(PhaseIIPreconBegin),I$8&lt;=YEAR(PhaseIIConEnd)))*SUM($D95:$N95)*'Assumptions-Overall'!$H$43/(YEAR(PhaseIIConEnd)-YEAR(PhaseIIPreconBegin)+1)</f>
        <v>-3032147.932060394</v>
      </c>
      <c r="J96" s="242">
        <f>(AND(J$8&gt;=YEAR(PhaseIIPreconBegin),J$8&lt;=YEAR(PhaseIIConEnd)))*SUM($D95:$N95)*'Assumptions-Overall'!$H$43/(YEAR(PhaseIIConEnd)-YEAR(PhaseIIPreconBegin)+1)</f>
        <v>0</v>
      </c>
      <c r="K96" s="242">
        <f>(AND(K$8&gt;=YEAR(PhaseIIPreconBegin),K$8&lt;=YEAR(PhaseIIConEnd)))*SUM($D95:$N95)*'Assumptions-Overall'!$H$43/(YEAR(PhaseIIConEnd)-YEAR(PhaseIIPreconBegin)+1)</f>
        <v>0</v>
      </c>
      <c r="L96" s="242">
        <f>(AND(L$8&gt;=YEAR(PhaseIIPreconBegin),L$8&lt;=YEAR(PhaseIIConEnd)))*SUM($D95:$N95)*'Assumptions-Overall'!$H$43/(YEAR(PhaseIIConEnd)-YEAR(PhaseIIPreconBegin)+1)</f>
        <v>0</v>
      </c>
      <c r="M96" s="242">
        <f>(AND(M$8&gt;=YEAR(PhaseIIPreconBegin),M$8&lt;=YEAR(PhaseIIConEnd)))*SUM($D95:$N95)*'Assumptions-Overall'!$H$43/(YEAR(PhaseIIConEnd)-YEAR(PhaseIIPreconBegin)+1)</f>
        <v>0</v>
      </c>
      <c r="N96" s="247"/>
    </row>
    <row r="97" spans="2:14" x14ac:dyDescent="0.2">
      <c r="B97" s="4" t="s">
        <v>183</v>
      </c>
      <c r="C97" s="12"/>
      <c r="D97" s="242">
        <f>(AND(D$8&gt;=YEAR(PhaseIIPreconBegin),D$8&lt;=YEAR(PhaseIIConEnd)))*SUM($D95:$N95)*'Assumptions-Overall'!$H$44/(YEAR(PhaseIIConEnd)-YEAR(PhaseIIPreconBegin)+1)</f>
        <v>0</v>
      </c>
      <c r="E97" s="242">
        <f>(AND(E$8&gt;=YEAR(PhaseIIPreconBegin),E$8&lt;=YEAR(PhaseIIConEnd)))*SUM($D95:$N95)*'Assumptions-Overall'!$H$44/(YEAR(PhaseIIConEnd)-YEAR(PhaseIIPreconBegin)+1)</f>
        <v>0</v>
      </c>
      <c r="F97" s="242">
        <f>(AND(F$8&gt;=YEAR(PhaseIIPreconBegin),F$8&lt;=YEAR(PhaseIIConEnd)))*SUM($D95:$N95)*'Assumptions-Overall'!$H$44/(YEAR(PhaseIIConEnd)-YEAR(PhaseIIPreconBegin)+1)</f>
        <v>-7580369.8301509842</v>
      </c>
      <c r="G97" s="242">
        <f>(AND(G$8&gt;=YEAR(PhaseIIPreconBegin),G$8&lt;=YEAR(PhaseIIConEnd)))*SUM($D95:$N95)*'Assumptions-Overall'!$H$44/(YEAR(PhaseIIConEnd)-YEAR(PhaseIIPreconBegin)+1)</f>
        <v>-7580369.8301509842</v>
      </c>
      <c r="H97" s="242">
        <f>(AND(H$8&gt;=YEAR(PhaseIIPreconBegin),H$8&lt;=YEAR(PhaseIIConEnd)))*SUM($D95:$N95)*'Assumptions-Overall'!$H$44/(YEAR(PhaseIIConEnd)-YEAR(PhaseIIPreconBegin)+1)</f>
        <v>-7580369.8301509842</v>
      </c>
      <c r="I97" s="242">
        <f>(AND(I$8&gt;=YEAR(PhaseIIPreconBegin),I$8&lt;=YEAR(PhaseIIConEnd)))*SUM($D95:$N95)*'Assumptions-Overall'!$H$44/(YEAR(PhaseIIConEnd)-YEAR(PhaseIIPreconBegin)+1)</f>
        <v>-7580369.8301509842</v>
      </c>
      <c r="J97" s="242">
        <f>(AND(J$8&gt;=YEAR(PhaseIIPreconBegin),J$8&lt;=YEAR(PhaseIIConEnd)))*SUM($D95:$N95)*'Assumptions-Overall'!$H$44/(YEAR(PhaseIIConEnd)-YEAR(PhaseIIPreconBegin)+1)</f>
        <v>0</v>
      </c>
      <c r="K97" s="242">
        <f>(AND(K$8&gt;=YEAR(PhaseIIPreconBegin),K$8&lt;=YEAR(PhaseIIConEnd)))*SUM($D95:$N95)*'Assumptions-Overall'!$H$44/(YEAR(PhaseIIConEnd)-YEAR(PhaseIIPreconBegin)+1)</f>
        <v>0</v>
      </c>
      <c r="L97" s="242">
        <f>(AND(L$8&gt;=YEAR(PhaseIIPreconBegin),L$8&lt;=YEAR(PhaseIIConEnd)))*SUM($D95:$N95)*'Assumptions-Overall'!$H$44/(YEAR(PhaseIIConEnd)-YEAR(PhaseIIPreconBegin)+1)</f>
        <v>0</v>
      </c>
      <c r="M97" s="242">
        <f>(AND(M$8&gt;=YEAR(PhaseIIPreconBegin),M$8&lt;=YEAR(PhaseIIConEnd)))*SUM($D95:$N95)*'Assumptions-Overall'!$H$44/(YEAR(PhaseIIConEnd)-YEAR(PhaseIIPreconBegin)+1)</f>
        <v>0</v>
      </c>
      <c r="N97" s="247"/>
    </row>
    <row r="98" spans="2:14" x14ac:dyDescent="0.2">
      <c r="B98" s="4" t="s">
        <v>184</v>
      </c>
      <c r="C98" s="12"/>
      <c r="D98" s="240">
        <f>SUM(D95:D97)*'Assumptions-Overall'!$H$45</f>
        <v>0</v>
      </c>
      <c r="E98" s="240">
        <f>SUM(E95:E97)*'Assumptions-Overall'!$H$45</f>
        <v>0</v>
      </c>
      <c r="F98" s="240">
        <f>SUM(F95:F97)*'Assumptions-Overall'!$H$45</f>
        <v>-318375.53286634135</v>
      </c>
      <c r="G98" s="240">
        <f>SUM(G95:G97)*'Assumptions-Overall'!$H$45</f>
        <v>-318375.53286634135</v>
      </c>
      <c r="H98" s="240">
        <f>SUM(H95:H97)*'Assumptions-Overall'!$H$45</f>
        <v>-3305713.3969652518</v>
      </c>
      <c r="I98" s="240">
        <f>SUM(I95:I97)*'Assumptions-Overall'!$H$45</f>
        <v>-3395333.5328882188</v>
      </c>
      <c r="J98" s="240">
        <f>SUM(J95:J97)*'Assumptions-Overall'!$H$45</f>
        <v>0</v>
      </c>
      <c r="K98" s="240">
        <f>SUM(K95:K97)*'Assumptions-Overall'!$H$45</f>
        <v>0</v>
      </c>
      <c r="L98" s="240">
        <f>SUM(L95:L97)*'Assumptions-Overall'!$H$45</f>
        <v>0</v>
      </c>
      <c r="M98" s="240">
        <f>SUM(M95:M97)*'Assumptions-Overall'!$H$45</f>
        <v>0</v>
      </c>
      <c r="N98" s="247"/>
    </row>
    <row r="99" spans="2:14" x14ac:dyDescent="0.2">
      <c r="B99" s="4" t="s">
        <v>313</v>
      </c>
      <c r="C99" s="12"/>
      <c r="D99" s="242">
        <f>SUM(D95:D98)</f>
        <v>0</v>
      </c>
      <c r="E99" s="242">
        <f t="shared" ref="E99" si="29">SUM(E95:E98)</f>
        <v>0</v>
      </c>
      <c r="F99" s="242">
        <f t="shared" ref="F99" si="30">SUM(F95:F98)</f>
        <v>-10930893.295077721</v>
      </c>
      <c r="G99" s="242">
        <f t="shared" ref="G99" si="31">SUM(G95:G98)</f>
        <v>-10930893.295077721</v>
      </c>
      <c r="H99" s="242">
        <f t="shared" ref="H99" si="32">SUM(H95:H98)</f>
        <v>-113496159.96247365</v>
      </c>
      <c r="I99" s="242">
        <f t="shared" ref="I99" si="33">SUM(I95:I98)</f>
        <v>-116573117.96249552</v>
      </c>
      <c r="J99" s="242">
        <f t="shared" ref="J99" si="34">SUM(J95:J98)</f>
        <v>0</v>
      </c>
      <c r="K99" s="242">
        <f t="shared" ref="K99" si="35">SUM(K95:K98)</f>
        <v>0</v>
      </c>
      <c r="L99" s="242">
        <f t="shared" ref="L99" si="36">SUM(L95:L98)</f>
        <v>0</v>
      </c>
      <c r="M99" s="242">
        <f t="shared" ref="M99" si="37">SUM(M95:M98)</f>
        <v>0</v>
      </c>
      <c r="N99" s="247"/>
    </row>
    <row r="100" spans="2:14" x14ac:dyDescent="0.2">
      <c r="B100" s="4"/>
      <c r="C100" s="1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7"/>
    </row>
    <row r="101" spans="2:14" x14ac:dyDescent="0.2">
      <c r="B101" s="53" t="s">
        <v>314</v>
      </c>
      <c r="C101" s="1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7"/>
    </row>
    <row r="102" spans="2:14" x14ac:dyDescent="0.2">
      <c r="B102" s="4" t="s">
        <v>316</v>
      </c>
      <c r="C102" s="12"/>
      <c r="D102" s="242">
        <f>(D$8=YEAR('Assumptions-Overall'!$C$30))*E88/'Assumptions-Overall'!$Y$18</f>
        <v>0</v>
      </c>
      <c r="E102" s="242">
        <f>(E$8=YEAR('Assumptions-Overall'!$C$30))*F88/'Assumptions-Overall'!$Y$18</f>
        <v>0</v>
      </c>
      <c r="F102" s="242">
        <f>(F$8=YEAR('Assumptions-Overall'!$C$30))*G88/'Assumptions-Overall'!$Y$18</f>
        <v>0</v>
      </c>
      <c r="G102" s="242">
        <f>(G$8=YEAR('Assumptions-Overall'!$C$30))*H88/'Assumptions-Overall'!$Y$18</f>
        <v>0</v>
      </c>
      <c r="H102" s="242">
        <f>(H$8=YEAR('Assumptions-Overall'!$C$30))*I88/'Assumptions-Overall'!$Y$18</f>
        <v>0</v>
      </c>
      <c r="I102" s="242">
        <f>(I$8=YEAR('Assumptions-Overall'!$C$30))*J88/'Assumptions-Overall'!$Y$18</f>
        <v>0</v>
      </c>
      <c r="J102" s="242">
        <f>(J$8=YEAR('Assumptions-Overall'!$C$30))*K88/'Assumptions-Overall'!$Y$18</f>
        <v>0</v>
      </c>
      <c r="K102" s="242">
        <f>(K$8=YEAR('Assumptions-Overall'!$C$30))*L88/'Assumptions-Overall'!$Y$18</f>
        <v>0</v>
      </c>
      <c r="L102" s="242">
        <f>(L$8=YEAR('Assumptions-Overall'!$C$30))*M88/'Assumptions-Overall'!$Y$18</f>
        <v>0</v>
      </c>
      <c r="M102" s="242">
        <f>(M$8=YEAR('Assumptions-Overall'!$C$30))*N88/'Assumptions-Overall'!$Y$18</f>
        <v>523293857.97526002</v>
      </c>
      <c r="N102" s="247"/>
    </row>
    <row r="103" spans="2:14" x14ac:dyDescent="0.2">
      <c r="B103" s="4" t="s">
        <v>317</v>
      </c>
      <c r="C103" s="12"/>
      <c r="D103" s="240">
        <f>-D102*'Assumptions-Overall'!$U$27</f>
        <v>0</v>
      </c>
      <c r="E103" s="240">
        <f>-E102*'Assumptions-Overall'!$U$27</f>
        <v>0</v>
      </c>
      <c r="F103" s="240">
        <f>-F102*'Assumptions-Overall'!$U$27</f>
        <v>0</v>
      </c>
      <c r="G103" s="240">
        <f>-G102*'Assumptions-Overall'!$U$27</f>
        <v>0</v>
      </c>
      <c r="H103" s="240">
        <f>-H102*'Assumptions-Overall'!$U$27</f>
        <v>0</v>
      </c>
      <c r="I103" s="240">
        <f>-I102*'Assumptions-Overall'!$U$27</f>
        <v>0</v>
      </c>
      <c r="J103" s="240">
        <f>-J102*'Assumptions-Overall'!$U$27</f>
        <v>0</v>
      </c>
      <c r="K103" s="240">
        <f>-K102*'Assumptions-Overall'!$U$27</f>
        <v>0</v>
      </c>
      <c r="L103" s="240">
        <f>-L102*'Assumptions-Overall'!$U$27</f>
        <v>0</v>
      </c>
      <c r="M103" s="240">
        <f>-M102*'Assumptions-Overall'!$U$27</f>
        <v>-5232938.5797526008</v>
      </c>
      <c r="N103" s="247"/>
    </row>
    <row r="104" spans="2:14" x14ac:dyDescent="0.2">
      <c r="B104" s="4" t="s">
        <v>318</v>
      </c>
      <c r="C104" s="12"/>
      <c r="D104" s="242">
        <f>SUM(D102:D103)</f>
        <v>0</v>
      </c>
      <c r="E104" s="242">
        <f t="shared" ref="E104" si="38">SUM(E102:E103)</f>
        <v>0</v>
      </c>
      <c r="F104" s="242">
        <f t="shared" ref="F104" si="39">SUM(F102:F103)</f>
        <v>0</v>
      </c>
      <c r="G104" s="242">
        <f t="shared" ref="G104" si="40">SUM(G102:G103)</f>
        <v>0</v>
      </c>
      <c r="H104" s="242">
        <f t="shared" ref="H104" si="41">SUM(H102:H103)</f>
        <v>0</v>
      </c>
      <c r="I104" s="242">
        <f t="shared" ref="I104" si="42">SUM(I102:I103)</f>
        <v>0</v>
      </c>
      <c r="J104" s="242">
        <f t="shared" ref="J104" si="43">SUM(J102:J103)</f>
        <v>0</v>
      </c>
      <c r="K104" s="242">
        <f t="shared" ref="K104" si="44">SUM(K102:K103)</f>
        <v>0</v>
      </c>
      <c r="L104" s="242">
        <f t="shared" ref="L104" si="45">SUM(L102:L103)</f>
        <v>0</v>
      </c>
      <c r="M104" s="242">
        <f t="shared" ref="M104" si="46">SUM(M102:M103)</f>
        <v>518060919.3955074</v>
      </c>
      <c r="N104" s="247"/>
    </row>
    <row r="105" spans="2:14" x14ac:dyDescent="0.2">
      <c r="B105" s="4"/>
      <c r="C105" s="1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7"/>
    </row>
    <row r="106" spans="2:14" x14ac:dyDescent="0.2">
      <c r="B106" s="4" t="s">
        <v>315</v>
      </c>
      <c r="C106" s="12"/>
      <c r="D106" s="242">
        <f t="shared" ref="D106:M106" si="47">D92+D99+D104</f>
        <v>0</v>
      </c>
      <c r="E106" s="242">
        <f t="shared" si="47"/>
        <v>0</v>
      </c>
      <c r="F106" s="242">
        <f t="shared" si="47"/>
        <v>-10930893.295077721</v>
      </c>
      <c r="G106" s="242">
        <f t="shared" si="47"/>
        <v>-10930893.295077721</v>
      </c>
      <c r="H106" s="242">
        <f t="shared" si="47"/>
        <v>-113496159.96247365</v>
      </c>
      <c r="I106" s="242">
        <f t="shared" si="47"/>
        <v>-116573117.96249552</v>
      </c>
      <c r="J106" s="242">
        <f t="shared" si="47"/>
        <v>12436202.687848421</v>
      </c>
      <c r="K106" s="242">
        <f t="shared" si="47"/>
        <v>21425604.438075896</v>
      </c>
      <c r="L106" s="242">
        <f t="shared" si="47"/>
        <v>22068372.57121817</v>
      </c>
      <c r="M106" s="242">
        <f t="shared" si="47"/>
        <v>540791343.14386213</v>
      </c>
      <c r="N106" s="247"/>
    </row>
    <row r="107" spans="2:14" x14ac:dyDescent="0.2">
      <c r="B107" s="4" t="s">
        <v>320</v>
      </c>
      <c r="C107" s="254">
        <f>IFERROR(IRR(D106:M106),"n/a")</f>
        <v>0.21035013780396561</v>
      </c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7"/>
    </row>
    <row r="108" spans="2:14" ht="12.75" thickBot="1" x14ac:dyDescent="0.25">
      <c r="B108" s="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6"/>
    </row>
    <row r="109" spans="2:14" x14ac:dyDescent="0.2">
      <c r="B109" s="250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2"/>
    </row>
    <row r="110" spans="2:14" x14ac:dyDescent="0.2">
      <c r="B110" s="243" t="s">
        <v>298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3"/>
    </row>
    <row r="111" spans="2:14" x14ac:dyDescent="0.2">
      <c r="B111" s="4" t="s">
        <v>293</v>
      </c>
      <c r="C111" s="12"/>
      <c r="D111" s="244">
        <f t="shared" ref="D111:N111" si="48">SUM(D115:D116)</f>
        <v>0</v>
      </c>
      <c r="E111" s="244">
        <f t="shared" si="48"/>
        <v>0</v>
      </c>
      <c r="F111" s="244">
        <f t="shared" si="48"/>
        <v>0</v>
      </c>
      <c r="G111" s="244">
        <f t="shared" si="48"/>
        <v>0</v>
      </c>
      <c r="H111" s="244">
        <f t="shared" si="48"/>
        <v>0</v>
      </c>
      <c r="I111" s="244">
        <f t="shared" si="48"/>
        <v>0</v>
      </c>
      <c r="J111" s="244">
        <f t="shared" si="48"/>
        <v>0</v>
      </c>
      <c r="K111" s="244">
        <f t="shared" si="48"/>
        <v>0</v>
      </c>
      <c r="L111" s="244">
        <f t="shared" si="48"/>
        <v>0</v>
      </c>
      <c r="M111" s="244">
        <f t="shared" si="48"/>
        <v>0</v>
      </c>
      <c r="N111" s="245">
        <f t="shared" si="48"/>
        <v>0</v>
      </c>
    </row>
    <row r="112" spans="2:14" x14ac:dyDescent="0.2">
      <c r="B112" s="4" t="s">
        <v>294</v>
      </c>
      <c r="C112" s="12"/>
      <c r="D112" s="244">
        <f>D111-C111</f>
        <v>0</v>
      </c>
      <c r="E112" s="244">
        <f t="shared" ref="E112" si="49">E111-D111</f>
        <v>0</v>
      </c>
      <c r="F112" s="244">
        <f t="shared" ref="F112" si="50">F111-E111</f>
        <v>0</v>
      </c>
      <c r="G112" s="244">
        <f t="shared" ref="G112" si="51">G111-F111</f>
        <v>0</v>
      </c>
      <c r="H112" s="244">
        <f t="shared" ref="H112" si="52">H111-G111</f>
        <v>0</v>
      </c>
      <c r="I112" s="244">
        <f t="shared" ref="I112" si="53">I111-H111</f>
        <v>0</v>
      </c>
      <c r="J112" s="244">
        <f t="shared" ref="J112" si="54">J111-I111</f>
        <v>0</v>
      </c>
      <c r="K112" s="244">
        <f t="shared" ref="K112" si="55">K111-J111</f>
        <v>0</v>
      </c>
      <c r="L112" s="244">
        <f t="shared" ref="L112" si="56">L111-K111</f>
        <v>0</v>
      </c>
      <c r="M112" s="244">
        <f t="shared" ref="M112" si="57">M111-L111</f>
        <v>0</v>
      </c>
      <c r="N112" s="245">
        <f t="shared" ref="N112" si="58">N111-M111</f>
        <v>0</v>
      </c>
    </row>
    <row r="113" spans="2:14" x14ac:dyDescent="0.2">
      <c r="B113" s="4"/>
      <c r="C113" s="12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5"/>
    </row>
    <row r="114" spans="2:14" x14ac:dyDescent="0.2">
      <c r="B114" s="53" t="s">
        <v>331</v>
      </c>
      <c r="C114" s="12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5"/>
    </row>
    <row r="115" spans="2:14" x14ac:dyDescent="0.2">
      <c r="B115" s="4" t="str">
        <f>B70</f>
        <v>Market Rate Office Space</v>
      </c>
      <c r="C115" s="12"/>
      <c r="D115" s="244">
        <f>(D$8&gt;=YEAR(PhaseIIIComplete))*'Assumptions-Office'!$F9</f>
        <v>0</v>
      </c>
      <c r="E115" s="244">
        <f>(E$8&gt;=YEAR(PhaseIIIComplete))*'Assumptions-Office'!$F9</f>
        <v>0</v>
      </c>
      <c r="F115" s="244">
        <f>(F$8&gt;=YEAR(PhaseIIIComplete))*'Assumptions-Office'!$F9</f>
        <v>0</v>
      </c>
      <c r="G115" s="244">
        <f>(G$8&gt;=YEAR(PhaseIIIComplete))*'Assumptions-Office'!$F9</f>
        <v>0</v>
      </c>
      <c r="H115" s="244">
        <f>(H$8&gt;=YEAR(PhaseIIIComplete))*'Assumptions-Office'!$F9</f>
        <v>0</v>
      </c>
      <c r="I115" s="244">
        <f>(I$8&gt;=YEAR(PhaseIIIComplete))*'Assumptions-Office'!$F9</f>
        <v>0</v>
      </c>
      <c r="J115" s="244">
        <f>(J$8&gt;=YEAR(PhaseIIIComplete))*'Assumptions-Office'!$F9</f>
        <v>0</v>
      </c>
      <c r="K115" s="244">
        <f>(K$8&gt;=YEAR(PhaseIIIComplete))*'Assumptions-Office'!$F9</f>
        <v>0</v>
      </c>
      <c r="L115" s="244">
        <f>(L$8&gt;=YEAR(PhaseIIIComplete))*'Assumptions-Office'!$F9</f>
        <v>0</v>
      </c>
      <c r="M115" s="244">
        <f>(M$8&gt;=YEAR(PhaseIIIComplete))*'Assumptions-Office'!$F9</f>
        <v>0</v>
      </c>
      <c r="N115" s="245">
        <f>(N$8&gt;=YEAR(PhaseIIIComplete))*'Assumptions-Office'!$F9</f>
        <v>0</v>
      </c>
    </row>
    <row r="116" spans="2:14" x14ac:dyDescent="0.2">
      <c r="B116" s="4" t="str">
        <f>B71</f>
        <v>Affordable Office Space</v>
      </c>
      <c r="C116" s="12"/>
      <c r="D116" s="244">
        <f>(D$8&gt;=YEAR(PhaseIIIComplete))*'Assumptions-Office'!$F10</f>
        <v>0</v>
      </c>
      <c r="E116" s="244">
        <f>(E$8&gt;=YEAR(PhaseIIIComplete))*'Assumptions-Office'!$F10</f>
        <v>0</v>
      </c>
      <c r="F116" s="244">
        <f>(F$8&gt;=YEAR(PhaseIIIComplete))*'Assumptions-Office'!$F10</f>
        <v>0</v>
      </c>
      <c r="G116" s="244">
        <f>(G$8&gt;=YEAR(PhaseIIIComplete))*'Assumptions-Office'!$F10</f>
        <v>0</v>
      </c>
      <c r="H116" s="244">
        <f>(H$8&gt;=YEAR(PhaseIIIComplete))*'Assumptions-Office'!$F10</f>
        <v>0</v>
      </c>
      <c r="I116" s="244">
        <f>(I$8&gt;=YEAR(PhaseIIIComplete))*'Assumptions-Office'!$F10</f>
        <v>0</v>
      </c>
      <c r="J116" s="244">
        <f>(J$8&gt;=YEAR(PhaseIIIComplete))*'Assumptions-Office'!$F10</f>
        <v>0</v>
      </c>
      <c r="K116" s="244">
        <f>(K$8&gt;=YEAR(PhaseIIIComplete))*'Assumptions-Office'!$F10</f>
        <v>0</v>
      </c>
      <c r="L116" s="244">
        <f>(L$8&gt;=YEAR(PhaseIIIComplete))*'Assumptions-Office'!$F10</f>
        <v>0</v>
      </c>
      <c r="M116" s="244">
        <f>(M$8&gt;=YEAR(PhaseIIIComplete))*'Assumptions-Office'!$F10</f>
        <v>0</v>
      </c>
      <c r="N116" s="245">
        <f>(N$8&gt;=YEAR(PhaseIIIComplete))*'Assumptions-Office'!$F10</f>
        <v>0</v>
      </c>
    </row>
    <row r="117" spans="2:14" x14ac:dyDescent="0.2">
      <c r="B117" s="4"/>
      <c r="C117" s="12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5"/>
    </row>
    <row r="118" spans="2:14" x14ac:dyDescent="0.2">
      <c r="B118" s="53" t="s">
        <v>307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3"/>
    </row>
    <row r="119" spans="2:14" x14ac:dyDescent="0.2">
      <c r="B119" s="4" t="s">
        <v>336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3"/>
    </row>
    <row r="120" spans="2:14" x14ac:dyDescent="0.2">
      <c r="B120" s="246" t="str">
        <f>B115</f>
        <v>Market Rate Office Space</v>
      </c>
      <c r="C120" s="12"/>
      <c r="D120" s="242">
        <f>D115*'Assumptions-Office'!$L9*(1+'Assumptions-Overall'!$C$35)^('CashFlow-Office'!D$7-1)</f>
        <v>0</v>
      </c>
      <c r="E120" s="242">
        <f>E115*'Assumptions-Office'!$L9*(1+'Assumptions-Overall'!$C$35)^('CashFlow-Office'!E$7-1)</f>
        <v>0</v>
      </c>
      <c r="F120" s="242">
        <f>F115*'Assumptions-Office'!$L9*(1+'Assumptions-Overall'!$C$35)^('CashFlow-Office'!F$7-1)</f>
        <v>0</v>
      </c>
      <c r="G120" s="242">
        <f>G115*'Assumptions-Office'!$L9*(1+'Assumptions-Overall'!$C$35)^('CashFlow-Office'!G$7-1)</f>
        <v>0</v>
      </c>
      <c r="H120" s="242">
        <f>H115*'Assumptions-Office'!$L9*(1+'Assumptions-Overall'!$C$35)^('CashFlow-Office'!H$7-1)</f>
        <v>0</v>
      </c>
      <c r="I120" s="242">
        <f>I115*'Assumptions-Office'!$L9*(1+'Assumptions-Overall'!$C$35)^('CashFlow-Office'!I$7-1)</f>
        <v>0</v>
      </c>
      <c r="J120" s="242">
        <f>J115*'Assumptions-Office'!$L9*(1+'Assumptions-Overall'!$C$35)^('CashFlow-Office'!J$7-1)</f>
        <v>0</v>
      </c>
      <c r="K120" s="242">
        <f>K115*'Assumptions-Office'!$L9*(1+'Assumptions-Overall'!$C$35)^('CashFlow-Office'!K$7-1)</f>
        <v>0</v>
      </c>
      <c r="L120" s="242">
        <f>L115*'Assumptions-Office'!$L9*(1+'Assumptions-Overall'!$C$35)^('CashFlow-Office'!L$7-1)</f>
        <v>0</v>
      </c>
      <c r="M120" s="242">
        <f>M115*'Assumptions-Office'!$L9*(1+'Assumptions-Overall'!$C$35)^('CashFlow-Office'!M$7-1)</f>
        <v>0</v>
      </c>
      <c r="N120" s="247">
        <f>N115*'Assumptions-Office'!$L9*(1+'Assumptions-Overall'!$C$35)^('CashFlow-Office'!N$7-1)</f>
        <v>0</v>
      </c>
    </row>
    <row r="121" spans="2:14" x14ac:dyDescent="0.2">
      <c r="B121" s="246" t="str">
        <f>B116</f>
        <v>Affordable Office Space</v>
      </c>
      <c r="C121" s="12"/>
      <c r="D121" s="240">
        <f>D116*'Assumptions-Office'!$L10*(1+'Assumptions-Overall'!$C$35)^('CashFlow-Office'!D$7-1)</f>
        <v>0</v>
      </c>
      <c r="E121" s="240">
        <f>E116*'Assumptions-Office'!$L10*(1+'Assumptions-Overall'!$C$35)^('CashFlow-Office'!E$7-1)</f>
        <v>0</v>
      </c>
      <c r="F121" s="240">
        <f>F116*'Assumptions-Office'!$L10*(1+'Assumptions-Overall'!$C$35)^('CashFlow-Office'!F$7-1)</f>
        <v>0</v>
      </c>
      <c r="G121" s="240">
        <f>G116*'Assumptions-Office'!$L10*(1+'Assumptions-Overall'!$C$35)^('CashFlow-Office'!G$7-1)</f>
        <v>0</v>
      </c>
      <c r="H121" s="240">
        <f>H116*'Assumptions-Office'!$L10*(1+'Assumptions-Overall'!$C$35)^('CashFlow-Office'!H$7-1)</f>
        <v>0</v>
      </c>
      <c r="I121" s="240">
        <f>I116*'Assumptions-Office'!$L10*(1+'Assumptions-Overall'!$C$35)^('CashFlow-Office'!I$7-1)</f>
        <v>0</v>
      </c>
      <c r="J121" s="240">
        <f>J116*'Assumptions-Office'!$L10*(1+'Assumptions-Overall'!$C$35)^('CashFlow-Office'!J$7-1)</f>
        <v>0</v>
      </c>
      <c r="K121" s="240">
        <f>K116*'Assumptions-Office'!$L10*(1+'Assumptions-Overall'!$C$35)^('CashFlow-Office'!K$7-1)</f>
        <v>0</v>
      </c>
      <c r="L121" s="240">
        <f>L116*'Assumptions-Office'!$L10*(1+'Assumptions-Overall'!$C$35)^('CashFlow-Office'!L$7-1)</f>
        <v>0</v>
      </c>
      <c r="M121" s="240">
        <f>M116*'Assumptions-Office'!$L10*(1+'Assumptions-Overall'!$C$35)^('CashFlow-Office'!M$7-1)</f>
        <v>0</v>
      </c>
      <c r="N121" s="248">
        <f>N116*'Assumptions-Office'!$L10*(1+'Assumptions-Overall'!$C$35)^('CashFlow-Office'!N$7-1)</f>
        <v>0</v>
      </c>
    </row>
    <row r="122" spans="2:14" x14ac:dyDescent="0.2">
      <c r="B122" s="4" t="s">
        <v>337</v>
      </c>
      <c r="C122" s="12"/>
      <c r="D122" s="242">
        <f t="shared" ref="D122:N122" si="59">SUM(D120:D121)</f>
        <v>0</v>
      </c>
      <c r="E122" s="242">
        <f t="shared" si="59"/>
        <v>0</v>
      </c>
      <c r="F122" s="242">
        <f t="shared" si="59"/>
        <v>0</v>
      </c>
      <c r="G122" s="242">
        <f t="shared" si="59"/>
        <v>0</v>
      </c>
      <c r="H122" s="242">
        <f t="shared" si="59"/>
        <v>0</v>
      </c>
      <c r="I122" s="242">
        <f t="shared" si="59"/>
        <v>0</v>
      </c>
      <c r="J122" s="242">
        <f t="shared" si="59"/>
        <v>0</v>
      </c>
      <c r="K122" s="242">
        <f t="shared" si="59"/>
        <v>0</v>
      </c>
      <c r="L122" s="242">
        <f t="shared" si="59"/>
        <v>0</v>
      </c>
      <c r="M122" s="242">
        <f t="shared" si="59"/>
        <v>0</v>
      </c>
      <c r="N122" s="247">
        <f t="shared" si="59"/>
        <v>0</v>
      </c>
    </row>
    <row r="123" spans="2:14" x14ac:dyDescent="0.2">
      <c r="B123" s="4"/>
      <c r="C123" s="1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7"/>
    </row>
    <row r="124" spans="2:14" x14ac:dyDescent="0.2">
      <c r="B124" s="4" t="s">
        <v>338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</row>
    <row r="125" spans="2:14" x14ac:dyDescent="0.2">
      <c r="B125" s="246" t="str">
        <f>B120</f>
        <v>Market Rate Office Space</v>
      </c>
      <c r="C125" s="12"/>
      <c r="D125" s="242">
        <f>D115*'Assumptions-Office'!$N9*(1+'Assumptions-Overall'!$C$35)^('CashFlow-Office'!D$7-1)</f>
        <v>0</v>
      </c>
      <c r="E125" s="242">
        <f>E115*'Assumptions-Office'!$N9*(1+'Assumptions-Overall'!$C$35)^('CashFlow-Office'!E$7-1)</f>
        <v>0</v>
      </c>
      <c r="F125" s="242">
        <f>F115*'Assumptions-Office'!$N9*(1+'Assumptions-Overall'!$C$35)^('CashFlow-Office'!F$7-1)</f>
        <v>0</v>
      </c>
      <c r="G125" s="242">
        <f>G115*'Assumptions-Office'!$N9*(1+'Assumptions-Overall'!$C$35)^('CashFlow-Office'!G$7-1)</f>
        <v>0</v>
      </c>
      <c r="H125" s="242">
        <f>H115*'Assumptions-Office'!$N9*(1+'Assumptions-Overall'!$C$35)^('CashFlow-Office'!H$7-1)</f>
        <v>0</v>
      </c>
      <c r="I125" s="242">
        <f>I115*'Assumptions-Office'!$N9*(1+'Assumptions-Overall'!$C$35)^('CashFlow-Office'!I$7-1)</f>
        <v>0</v>
      </c>
      <c r="J125" s="242">
        <f>J115*'Assumptions-Office'!$N9*(1+'Assumptions-Overall'!$C$35)^('CashFlow-Office'!J$7-1)</f>
        <v>0</v>
      </c>
      <c r="K125" s="242">
        <f>K115*'Assumptions-Office'!$N9*(1+'Assumptions-Overall'!$C$35)^('CashFlow-Office'!K$7-1)</f>
        <v>0</v>
      </c>
      <c r="L125" s="242">
        <f>L115*'Assumptions-Office'!$N9*(1+'Assumptions-Overall'!$C$35)^('CashFlow-Office'!L$7-1)</f>
        <v>0</v>
      </c>
      <c r="M125" s="242">
        <f>M115*'Assumptions-Office'!$N9*(1+'Assumptions-Overall'!$C$35)^('CashFlow-Office'!M$7-1)</f>
        <v>0</v>
      </c>
      <c r="N125" s="247">
        <f>N115*'Assumptions-Office'!$N9*(1+'Assumptions-Overall'!$C$35)^('CashFlow-Office'!N$7-1)</f>
        <v>0</v>
      </c>
    </row>
    <row r="126" spans="2:14" x14ac:dyDescent="0.2">
      <c r="B126" s="246" t="str">
        <f>B121</f>
        <v>Affordable Office Space</v>
      </c>
      <c r="C126" s="12"/>
      <c r="D126" s="240">
        <f>D116*'Assumptions-Office'!$N10*(1+'Assumptions-Overall'!$C$35)^('CashFlow-Office'!D$7-1)</f>
        <v>0</v>
      </c>
      <c r="E126" s="240">
        <f>E116*'Assumptions-Office'!$N10*(1+'Assumptions-Overall'!$C$35)^('CashFlow-Office'!E$7-1)</f>
        <v>0</v>
      </c>
      <c r="F126" s="240">
        <f>F116*'Assumptions-Office'!$N10*(1+'Assumptions-Overall'!$C$35)^('CashFlow-Office'!F$7-1)</f>
        <v>0</v>
      </c>
      <c r="G126" s="240">
        <f>G116*'Assumptions-Office'!$N10*(1+'Assumptions-Overall'!$C$35)^('CashFlow-Office'!G$7-1)</f>
        <v>0</v>
      </c>
      <c r="H126" s="240">
        <f>H116*'Assumptions-Office'!$N10*(1+'Assumptions-Overall'!$C$35)^('CashFlow-Office'!H$7-1)</f>
        <v>0</v>
      </c>
      <c r="I126" s="240">
        <f>I116*'Assumptions-Office'!$N10*(1+'Assumptions-Overall'!$C$35)^('CashFlow-Office'!I$7-1)</f>
        <v>0</v>
      </c>
      <c r="J126" s="240">
        <f>J116*'Assumptions-Office'!$N10*(1+'Assumptions-Overall'!$C$35)^('CashFlow-Office'!J$7-1)</f>
        <v>0</v>
      </c>
      <c r="K126" s="240">
        <f>K116*'Assumptions-Office'!$N10*(1+'Assumptions-Overall'!$C$35)^('CashFlow-Office'!K$7-1)</f>
        <v>0</v>
      </c>
      <c r="L126" s="240">
        <f>L116*'Assumptions-Office'!$N10*(1+'Assumptions-Overall'!$C$35)^('CashFlow-Office'!L$7-1)</f>
        <v>0</v>
      </c>
      <c r="M126" s="240">
        <f>M116*'Assumptions-Office'!$N10*(1+'Assumptions-Overall'!$C$35)^('CashFlow-Office'!M$7-1)</f>
        <v>0</v>
      </c>
      <c r="N126" s="248">
        <f>N116*'Assumptions-Office'!$N10*(1+'Assumptions-Overall'!$C$35)^('CashFlow-Office'!N$7-1)</f>
        <v>0</v>
      </c>
    </row>
    <row r="127" spans="2:14" x14ac:dyDescent="0.2">
      <c r="B127" s="4" t="s">
        <v>339</v>
      </c>
      <c r="C127" s="12"/>
      <c r="D127" s="242">
        <f t="shared" ref="D127:N127" si="60">SUM(D125:D126)</f>
        <v>0</v>
      </c>
      <c r="E127" s="242">
        <f t="shared" si="60"/>
        <v>0</v>
      </c>
      <c r="F127" s="242">
        <f t="shared" si="60"/>
        <v>0</v>
      </c>
      <c r="G127" s="242">
        <f t="shared" si="60"/>
        <v>0</v>
      </c>
      <c r="H127" s="242">
        <f t="shared" si="60"/>
        <v>0</v>
      </c>
      <c r="I127" s="242">
        <f t="shared" si="60"/>
        <v>0</v>
      </c>
      <c r="J127" s="242">
        <f t="shared" si="60"/>
        <v>0</v>
      </c>
      <c r="K127" s="242">
        <f t="shared" si="60"/>
        <v>0</v>
      </c>
      <c r="L127" s="242">
        <f t="shared" si="60"/>
        <v>0</v>
      </c>
      <c r="M127" s="242">
        <f t="shared" si="60"/>
        <v>0</v>
      </c>
      <c r="N127" s="247">
        <f t="shared" si="60"/>
        <v>0</v>
      </c>
    </row>
    <row r="128" spans="2:14" x14ac:dyDescent="0.2">
      <c r="B128" s="4"/>
      <c r="C128" s="1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7"/>
    </row>
    <row r="129" spans="2:14" x14ac:dyDescent="0.2">
      <c r="B129" s="4" t="s">
        <v>301</v>
      </c>
      <c r="C129" s="1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7"/>
    </row>
    <row r="130" spans="2:14" x14ac:dyDescent="0.2">
      <c r="B130" s="246" t="s">
        <v>332</v>
      </c>
      <c r="C130" s="12"/>
      <c r="D130" s="242">
        <f>-(D122+D127)*'Assumptions-Office'!$S$8</f>
        <v>0</v>
      </c>
      <c r="E130" s="242">
        <f>-(E122+E127)*'Assumptions-Office'!$S$8</f>
        <v>0</v>
      </c>
      <c r="F130" s="242">
        <f>-(F122+F127)*'Assumptions-Office'!$S$8</f>
        <v>0</v>
      </c>
      <c r="G130" s="242">
        <f>-(G122+G127)*'Assumptions-Office'!$S$8</f>
        <v>0</v>
      </c>
      <c r="H130" s="242">
        <f>-(H122+H127)*'Assumptions-Office'!$S$8</f>
        <v>0</v>
      </c>
      <c r="I130" s="242">
        <f>-(I122+I127)*'Assumptions-Office'!$S$8</f>
        <v>0</v>
      </c>
      <c r="J130" s="242">
        <f>-(J122+J127)*'Assumptions-Office'!$S$8</f>
        <v>0</v>
      </c>
      <c r="K130" s="242">
        <f>-(K122+K127)*'Assumptions-Office'!$S$8</f>
        <v>0</v>
      </c>
      <c r="L130" s="242">
        <f>-(L122+L127)*'Assumptions-Office'!$S$8</f>
        <v>0</v>
      </c>
      <c r="M130" s="242">
        <f>-(M122+M127)*'Assumptions-Office'!$S$8</f>
        <v>0</v>
      </c>
      <c r="N130" s="247">
        <f>-(N122+N127)*'Assumptions-Office'!$S$8</f>
        <v>0</v>
      </c>
    </row>
    <row r="131" spans="2:14" x14ac:dyDescent="0.2">
      <c r="B131" s="246" t="s">
        <v>304</v>
      </c>
      <c r="C131" s="12"/>
      <c r="D131" s="240">
        <f>-(C122=0)*((D122+D127)*'Assumptions-Office'!$S$9+SUM('CashFlow-Office'!D130))</f>
        <v>0</v>
      </c>
      <c r="E131" s="240">
        <f>-(D122=0)*((E122+E127)*'Assumptions-Office'!$S$9+SUM('CashFlow-Office'!E130))</f>
        <v>0</v>
      </c>
      <c r="F131" s="240">
        <f>-(E122=0)*((F122+F127)*'Assumptions-Office'!$S$9+SUM('CashFlow-Office'!F130))</f>
        <v>0</v>
      </c>
      <c r="G131" s="240">
        <f>-(F122=0)*((G122+G127)*'Assumptions-Office'!$S$9+SUM('CashFlow-Office'!G130))</f>
        <v>0</v>
      </c>
      <c r="H131" s="240">
        <f>-(G122=0)*((H122+H127)*'Assumptions-Office'!$S$9+SUM('CashFlow-Office'!H130))</f>
        <v>0</v>
      </c>
      <c r="I131" s="240">
        <f>-(H122=0)*((I122+I127)*'Assumptions-Office'!$S$9+SUM('CashFlow-Office'!I130))</f>
        <v>0</v>
      </c>
      <c r="J131" s="240">
        <f>-(I122=0)*((J122+J127)*'Assumptions-Office'!$S$9+SUM('CashFlow-Office'!J130))</f>
        <v>0</v>
      </c>
      <c r="K131" s="240">
        <f>-(J122=0)*((K122+K127)*'Assumptions-Office'!$S$9+SUM('CashFlow-Office'!K130))</f>
        <v>0</v>
      </c>
      <c r="L131" s="240">
        <f>-(K122=0)*((L122+L127)*'Assumptions-Office'!$S$9+SUM('CashFlow-Office'!L130))</f>
        <v>0</v>
      </c>
      <c r="M131" s="240">
        <f>-(L122=0)*((M122+M127)*'Assumptions-Office'!$S$9+SUM('CashFlow-Office'!M130))</f>
        <v>0</v>
      </c>
      <c r="N131" s="248">
        <f>-(M122=0)*((N122+N127)*'Assumptions-Office'!$S$9+SUM('CashFlow-Office'!N130))</f>
        <v>0</v>
      </c>
    </row>
    <row r="132" spans="2:14" x14ac:dyDescent="0.2">
      <c r="B132" s="4" t="s">
        <v>305</v>
      </c>
      <c r="C132" s="12"/>
      <c r="D132" s="242">
        <f t="shared" ref="D132:N132" si="61">SUM(D130:D131)</f>
        <v>0</v>
      </c>
      <c r="E132" s="242">
        <f t="shared" si="61"/>
        <v>0</v>
      </c>
      <c r="F132" s="242">
        <f t="shared" si="61"/>
        <v>0</v>
      </c>
      <c r="G132" s="242">
        <f t="shared" si="61"/>
        <v>0</v>
      </c>
      <c r="H132" s="242">
        <f t="shared" si="61"/>
        <v>0</v>
      </c>
      <c r="I132" s="242">
        <f t="shared" si="61"/>
        <v>0</v>
      </c>
      <c r="J132" s="242">
        <f t="shared" si="61"/>
        <v>0</v>
      </c>
      <c r="K132" s="242">
        <f t="shared" si="61"/>
        <v>0</v>
      </c>
      <c r="L132" s="242">
        <f t="shared" si="61"/>
        <v>0</v>
      </c>
      <c r="M132" s="242">
        <f t="shared" si="61"/>
        <v>0</v>
      </c>
      <c r="N132" s="247">
        <f t="shared" si="61"/>
        <v>0</v>
      </c>
    </row>
    <row r="133" spans="2:14" x14ac:dyDescent="0.2">
      <c r="B133" s="4"/>
      <c r="C133" s="12"/>
      <c r="D133" s="242"/>
      <c r="E133" s="242"/>
      <c r="F133" s="242"/>
      <c r="G133" s="242"/>
      <c r="H133" s="211"/>
      <c r="I133" s="242"/>
      <c r="J133" s="242"/>
      <c r="K133" s="242"/>
      <c r="L133" s="242"/>
      <c r="M133" s="242"/>
      <c r="N133" s="247"/>
    </row>
    <row r="134" spans="2:14" x14ac:dyDescent="0.2">
      <c r="B134" s="4" t="s">
        <v>306</v>
      </c>
      <c r="C134" s="12"/>
      <c r="D134" s="241">
        <f t="shared" ref="D134:N134" si="62">D122+D127+D132</f>
        <v>0</v>
      </c>
      <c r="E134" s="241">
        <f t="shared" si="62"/>
        <v>0</v>
      </c>
      <c r="F134" s="241">
        <f t="shared" si="62"/>
        <v>0</v>
      </c>
      <c r="G134" s="241">
        <f t="shared" si="62"/>
        <v>0</v>
      </c>
      <c r="H134" s="241">
        <f t="shared" si="62"/>
        <v>0</v>
      </c>
      <c r="I134" s="241">
        <f t="shared" si="62"/>
        <v>0</v>
      </c>
      <c r="J134" s="241">
        <f t="shared" si="62"/>
        <v>0</v>
      </c>
      <c r="K134" s="241">
        <f t="shared" si="62"/>
        <v>0</v>
      </c>
      <c r="L134" s="241">
        <f t="shared" si="62"/>
        <v>0</v>
      </c>
      <c r="M134" s="241">
        <f t="shared" si="62"/>
        <v>0</v>
      </c>
      <c r="N134" s="249">
        <f t="shared" si="62"/>
        <v>0</v>
      </c>
    </row>
    <row r="135" spans="2:14" x14ac:dyDescent="0.2">
      <c r="B135" s="4"/>
      <c r="C135" s="1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7"/>
    </row>
    <row r="136" spans="2:14" x14ac:dyDescent="0.2">
      <c r="B136" s="4" t="s">
        <v>308</v>
      </c>
      <c r="C136" s="12"/>
      <c r="D136" s="242">
        <f>-D111*'Assumptions-Office'!$S$12*(1+'Assumptions-Overall'!$C$39)^('CashFlow-Office'!D$7-1)</f>
        <v>0</v>
      </c>
      <c r="E136" s="242">
        <f>-E111*'Assumptions-Office'!$S$12*(1+'Assumptions-Overall'!$C$39)^('CashFlow-Office'!E$7-1)</f>
        <v>0</v>
      </c>
      <c r="F136" s="242">
        <f>-F111*'Assumptions-Office'!$S$12*(1+'Assumptions-Overall'!$C$39)^('CashFlow-Office'!F$7-1)</f>
        <v>0</v>
      </c>
      <c r="G136" s="242">
        <f>-G111*'Assumptions-Office'!$S$12*(1+'Assumptions-Overall'!$C$39)^('CashFlow-Office'!G$7-1)</f>
        <v>0</v>
      </c>
      <c r="H136" s="242">
        <f>-H111*'Assumptions-Office'!$S$12*(1+'Assumptions-Overall'!$C$39)^('CashFlow-Office'!H$7-1)</f>
        <v>0</v>
      </c>
      <c r="I136" s="242">
        <f>-I111*'Assumptions-Office'!$S$12*(1+'Assumptions-Overall'!$C$39)^('CashFlow-Office'!I$7-1)</f>
        <v>0</v>
      </c>
      <c r="J136" s="242">
        <f>-J111*'Assumptions-Office'!$S$12*(1+'Assumptions-Overall'!$C$39)^('CashFlow-Office'!J$7-1)</f>
        <v>0</v>
      </c>
      <c r="K136" s="242">
        <f>-K111*'Assumptions-Office'!$S$12*(1+'Assumptions-Overall'!$C$39)^('CashFlow-Office'!K$7-1)</f>
        <v>0</v>
      </c>
      <c r="L136" s="242">
        <f>-L111*'Assumptions-Office'!$S$12*(1+'Assumptions-Overall'!$C$39)^('CashFlow-Office'!L$7-1)</f>
        <v>0</v>
      </c>
      <c r="M136" s="242">
        <f>-M111*'Assumptions-Office'!$S$12*(1+'Assumptions-Overall'!$C$39)^('CashFlow-Office'!M$7-1)</f>
        <v>0</v>
      </c>
      <c r="N136" s="247">
        <f>-N111*'Assumptions-Office'!$S$12*(1+'Assumptions-Overall'!$C$39)^('CashFlow-Office'!N$7-1)</f>
        <v>0</v>
      </c>
    </row>
    <row r="137" spans="2:14" x14ac:dyDescent="0.2">
      <c r="B137" s="4"/>
      <c r="C137" s="1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7"/>
    </row>
    <row r="138" spans="2:14" x14ac:dyDescent="0.2">
      <c r="B138" s="4" t="s">
        <v>310</v>
      </c>
      <c r="C138" s="12"/>
      <c r="D138" s="241">
        <f>SUM(D134:D136)</f>
        <v>0</v>
      </c>
      <c r="E138" s="241">
        <f t="shared" ref="E138:N138" si="63">SUM(E134:E136)</f>
        <v>0</v>
      </c>
      <c r="F138" s="241">
        <f t="shared" si="63"/>
        <v>0</v>
      </c>
      <c r="G138" s="241">
        <f t="shared" si="63"/>
        <v>0</v>
      </c>
      <c r="H138" s="241">
        <f t="shared" si="63"/>
        <v>0</v>
      </c>
      <c r="I138" s="241">
        <f t="shared" si="63"/>
        <v>0</v>
      </c>
      <c r="J138" s="241">
        <f t="shared" si="63"/>
        <v>0</v>
      </c>
      <c r="K138" s="241">
        <f t="shared" si="63"/>
        <v>0</v>
      </c>
      <c r="L138" s="241">
        <f t="shared" si="63"/>
        <v>0</v>
      </c>
      <c r="M138" s="241">
        <f t="shared" si="63"/>
        <v>0</v>
      </c>
      <c r="N138" s="249">
        <f t="shared" si="63"/>
        <v>0</v>
      </c>
    </row>
    <row r="139" spans="2:14" x14ac:dyDescent="0.2">
      <c r="B139" s="4"/>
      <c r="C139" s="1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55"/>
    </row>
    <row r="140" spans="2:14" x14ac:dyDescent="0.2">
      <c r="B140" s="4" t="s">
        <v>283</v>
      </c>
      <c r="C140" s="12"/>
      <c r="D140" s="242">
        <f>-D111*'Assumptions-Office'!$S$14*(1+'Assumptions-Overall'!$C$40)^('CashFlow-Office'!D$7-1)</f>
        <v>0</v>
      </c>
      <c r="E140" s="242">
        <f>-E111*'Assumptions-Office'!$S$14*(1+'Assumptions-Overall'!$C$40)^('CashFlow-Office'!E$7-1)</f>
        <v>0</v>
      </c>
      <c r="F140" s="242">
        <f>-F111*'Assumptions-Office'!$S$14*(1+'Assumptions-Overall'!$C$40)^('CashFlow-Office'!F$7-1)</f>
        <v>0</v>
      </c>
      <c r="G140" s="242">
        <f>-G111*'Assumptions-Office'!$S$14*(1+'Assumptions-Overall'!$C$40)^('CashFlow-Office'!G$7-1)</f>
        <v>0</v>
      </c>
      <c r="H140" s="242">
        <f>-H111*'Assumptions-Office'!$S$14*(1+'Assumptions-Overall'!$C$40)^('CashFlow-Office'!H$7-1)</f>
        <v>0</v>
      </c>
      <c r="I140" s="242">
        <f>-I111*'Assumptions-Office'!$S$14*(1+'Assumptions-Overall'!$C$40)^('CashFlow-Office'!I$7-1)</f>
        <v>0</v>
      </c>
      <c r="J140" s="242">
        <f>-J111*'Assumptions-Office'!$S$14*(1+'Assumptions-Overall'!$C$40)^('CashFlow-Office'!J$7-1)</f>
        <v>0</v>
      </c>
      <c r="K140" s="242">
        <f>-K111*'Assumptions-Office'!$S$14*(1+'Assumptions-Overall'!$C$40)^('CashFlow-Office'!K$7-1)</f>
        <v>0</v>
      </c>
      <c r="L140" s="242">
        <f>-L111*'Assumptions-Office'!$S$14*(1+'Assumptions-Overall'!$C$40)^('CashFlow-Office'!L$7-1)</f>
        <v>0</v>
      </c>
      <c r="M140" s="242">
        <f>-M111*'Assumptions-Office'!$S$14*(1+'Assumptions-Overall'!$C$40)^('CashFlow-Office'!M$7-1)</f>
        <v>0</v>
      </c>
      <c r="N140" s="247"/>
    </row>
    <row r="141" spans="2:14" x14ac:dyDescent="0.2">
      <c r="B141" s="4"/>
      <c r="C141" s="1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7"/>
    </row>
    <row r="142" spans="2:14" x14ac:dyDescent="0.2">
      <c r="B142" s="4" t="s">
        <v>309</v>
      </c>
      <c r="C142" s="12"/>
      <c r="D142" s="241">
        <f>SUM(D138:D140)</f>
        <v>0</v>
      </c>
      <c r="E142" s="241">
        <f t="shared" ref="E142:M142" si="64">SUM(E138:E140)</f>
        <v>0</v>
      </c>
      <c r="F142" s="241">
        <f t="shared" si="64"/>
        <v>0</v>
      </c>
      <c r="G142" s="241">
        <f t="shared" si="64"/>
        <v>0</v>
      </c>
      <c r="H142" s="241">
        <f t="shared" si="64"/>
        <v>0</v>
      </c>
      <c r="I142" s="241">
        <f t="shared" si="64"/>
        <v>0</v>
      </c>
      <c r="J142" s="241">
        <f t="shared" si="64"/>
        <v>0</v>
      </c>
      <c r="K142" s="241">
        <f t="shared" si="64"/>
        <v>0</v>
      </c>
      <c r="L142" s="241">
        <f t="shared" si="64"/>
        <v>0</v>
      </c>
      <c r="M142" s="241">
        <f t="shared" si="64"/>
        <v>0</v>
      </c>
      <c r="N142" s="247"/>
    </row>
    <row r="143" spans="2:14" x14ac:dyDescent="0.2">
      <c r="B143" s="4"/>
      <c r="C143" s="1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7"/>
    </row>
    <row r="144" spans="2:14" x14ac:dyDescent="0.2">
      <c r="B144" s="53" t="s">
        <v>209</v>
      </c>
      <c r="C144" s="1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7"/>
    </row>
    <row r="145" spans="2:14" x14ac:dyDescent="0.2">
      <c r="B145" s="4" t="s">
        <v>311</v>
      </c>
      <c r="C145" s="12"/>
      <c r="D145" s="242">
        <f>-(AND(D$8&gt;=YEAR(PhaseIIIConBegin),D$8&lt;=YEAR(PhaseIIIConEnd)))*SUM($D112:$N112)*SUM('Assumptions-Overall'!$M$23:$M$24)*(1+'Assumptions-Overall'!$C$41)^('CashFlow-Office'!D$7-1)/(YEAR(PhaseIIIConEnd)-YEAR(PhaseIIIConBegin)+1)</f>
        <v>0</v>
      </c>
      <c r="E145" s="242">
        <f>-(AND(E$8&gt;=YEAR(PhaseIIIConBegin),E$8&lt;=YEAR(PhaseIIIConEnd)))*SUM($D112:$N112)*SUM('Assumptions-Overall'!$M$23:$M$24)*(1+'Assumptions-Overall'!$C$41)^('CashFlow-Office'!E$7-1)/(YEAR(PhaseIIIConEnd)-YEAR(PhaseIIIConBegin)+1)</f>
        <v>0</v>
      </c>
      <c r="F145" s="242">
        <f>-(AND(F$8&gt;=YEAR(PhaseIIIConBegin),F$8&lt;=YEAR(PhaseIIIConEnd)))*SUM($D112:$N112)*SUM('Assumptions-Overall'!$M$23:$M$24)*(1+'Assumptions-Overall'!$C$41)^('CashFlow-Office'!F$7-1)/(YEAR(PhaseIIIConEnd)-YEAR(PhaseIIIConBegin)+1)</f>
        <v>0</v>
      </c>
      <c r="G145" s="242">
        <f>-(AND(G$8&gt;=YEAR(PhaseIIIConBegin),G$8&lt;=YEAR(PhaseIIIConEnd)))*SUM($D112:$N112)*SUM('Assumptions-Overall'!$M$23:$M$24)*(1+'Assumptions-Overall'!$C$41)^('CashFlow-Office'!G$7-1)/(YEAR(PhaseIIIConEnd)-YEAR(PhaseIIIConBegin)+1)</f>
        <v>0</v>
      </c>
      <c r="H145" s="242">
        <f>-(AND(H$8&gt;=YEAR(PhaseIIIConBegin),H$8&lt;=YEAR(PhaseIIIConEnd)))*SUM($D112:$N112)*SUM('Assumptions-Overall'!$M$23:$M$24)*(1+'Assumptions-Overall'!$C$41)^('CashFlow-Office'!H$7-1)/(YEAR(PhaseIIIConEnd)-YEAR(PhaseIIIConBegin)+1)</f>
        <v>0</v>
      </c>
      <c r="I145" s="242">
        <f>-(AND(I$8&gt;=YEAR(PhaseIIIConBegin),I$8&lt;=YEAR(PhaseIIIConEnd)))*SUM($D112:$N112)*SUM('Assumptions-Overall'!$M$23:$M$24)*(1+'Assumptions-Overall'!$C$41)^('CashFlow-Office'!I$7-1)/(YEAR(PhaseIIIConEnd)-YEAR(PhaseIIIConBegin)+1)</f>
        <v>0</v>
      </c>
      <c r="J145" s="242">
        <f>-(AND(J$8&gt;=YEAR(PhaseIIIConBegin),J$8&lt;=YEAR(PhaseIIIConEnd)))*SUM($D112:$N112)*SUM('Assumptions-Overall'!$M$23:$M$24)*(1+'Assumptions-Overall'!$C$41)^('CashFlow-Office'!J$7-1)/(YEAR(PhaseIIIConEnd)-YEAR(PhaseIIIConBegin)+1)</f>
        <v>0</v>
      </c>
      <c r="K145" s="242">
        <f>-(AND(K$8&gt;=YEAR(PhaseIIIConBegin),K$8&lt;=YEAR(PhaseIIIConEnd)))*SUM($D112:$N112)*SUM('Assumptions-Overall'!$M$23:$M$24)*(1+'Assumptions-Overall'!$C$41)^('CashFlow-Office'!K$7-1)/(YEAR(PhaseIIIConEnd)-YEAR(PhaseIIIConBegin)+1)</f>
        <v>0</v>
      </c>
      <c r="L145" s="242">
        <f>-(AND(L$8&gt;=YEAR(PhaseIIIConBegin),L$8&lt;=YEAR(PhaseIIIConEnd)))*SUM($D112:$N112)*SUM('Assumptions-Overall'!$M$23:$M$24)*(1+'Assumptions-Overall'!$C$41)^('CashFlow-Office'!L$7-1)/(YEAR(PhaseIIIConEnd)-YEAR(PhaseIIIConBegin)+1)</f>
        <v>0</v>
      </c>
      <c r="M145" s="242">
        <f>-(AND(M$8&gt;=YEAR(PhaseIIIConBegin),M$8&lt;=YEAR(PhaseIIIConEnd)))*SUM($D112:$N112)*SUM('Assumptions-Overall'!$M$23:$M$24)*(1+'Assumptions-Overall'!$C$41)^('CashFlow-Office'!M$7-1)/(YEAR(PhaseIIIConEnd)-YEAR(PhaseIIIConBegin)+1)</f>
        <v>0</v>
      </c>
      <c r="N145" s="247"/>
    </row>
    <row r="146" spans="2:14" x14ac:dyDescent="0.2">
      <c r="B146" s="4" t="s">
        <v>312</v>
      </c>
      <c r="C146" s="12"/>
      <c r="D146" s="242">
        <f>(AND(D$8&gt;=YEAR(PhaseIIIPreconBegin),D$8&lt;=YEAR(PhaseIIIConEnd)))*SUM($D145:$N145)*'Assumptions-Overall'!$H$43/(YEAR(PhaseIIIConEnd)-YEAR(PhaseIIIPreconBegin)+1)</f>
        <v>0</v>
      </c>
      <c r="E146" s="242">
        <f>(AND(E$8&gt;=YEAR(PhaseIIIPreconBegin),E$8&lt;=YEAR(PhaseIIIConEnd)))*SUM($D145:$N145)*'Assumptions-Overall'!$H$43/(YEAR(PhaseIIIConEnd)-YEAR(PhaseIIIPreconBegin)+1)</f>
        <v>0</v>
      </c>
      <c r="F146" s="242">
        <f>(AND(F$8&gt;=YEAR(PhaseIIIPreconBegin),F$8&lt;=YEAR(PhaseIIIConEnd)))*SUM($D145:$N145)*'Assumptions-Overall'!$H$43/(YEAR(PhaseIIIConEnd)-YEAR(PhaseIIIPreconBegin)+1)</f>
        <v>0</v>
      </c>
      <c r="G146" s="242">
        <f>(AND(G$8&gt;=YEAR(PhaseIIIPreconBegin),G$8&lt;=YEAR(PhaseIIIConEnd)))*SUM($D145:$N145)*'Assumptions-Overall'!$H$43/(YEAR(PhaseIIIConEnd)-YEAR(PhaseIIIPreconBegin)+1)</f>
        <v>0</v>
      </c>
      <c r="H146" s="242">
        <f>(AND(H$8&gt;=YEAR(PhaseIIIPreconBegin),H$8&lt;=YEAR(PhaseIIIConEnd)))*SUM($D145:$N145)*'Assumptions-Overall'!$H$43/(YEAR(PhaseIIIConEnd)-YEAR(PhaseIIIPreconBegin)+1)</f>
        <v>0</v>
      </c>
      <c r="I146" s="242">
        <f>(AND(I$8&gt;=YEAR(PhaseIIIPreconBegin),I$8&lt;=YEAR(PhaseIIIConEnd)))*SUM($D145:$N145)*'Assumptions-Overall'!$H$43/(YEAR(PhaseIIIConEnd)-YEAR(PhaseIIIPreconBegin)+1)</f>
        <v>0</v>
      </c>
      <c r="J146" s="242">
        <f>(AND(J$8&gt;=YEAR(PhaseIIIPreconBegin),J$8&lt;=YEAR(PhaseIIIConEnd)))*SUM($D145:$N145)*'Assumptions-Overall'!$H$43/(YEAR(PhaseIIIConEnd)-YEAR(PhaseIIIPreconBegin)+1)</f>
        <v>0</v>
      </c>
      <c r="K146" s="242">
        <f>(AND(K$8&gt;=YEAR(PhaseIIIPreconBegin),K$8&lt;=YEAR(PhaseIIIConEnd)))*SUM($D145:$N145)*'Assumptions-Overall'!$H$43/(YEAR(PhaseIIIConEnd)-YEAR(PhaseIIIPreconBegin)+1)</f>
        <v>0</v>
      </c>
      <c r="L146" s="242">
        <f>(AND(L$8&gt;=YEAR(PhaseIIIPreconBegin),L$8&lt;=YEAR(PhaseIIIConEnd)))*SUM($D145:$N145)*'Assumptions-Overall'!$H$43/(YEAR(PhaseIIIConEnd)-YEAR(PhaseIIIPreconBegin)+1)</f>
        <v>0</v>
      </c>
      <c r="M146" s="242">
        <f>(AND(M$8&gt;=YEAR(PhaseIIIPreconBegin),M$8&lt;=YEAR(PhaseIIIConEnd)))*SUM($D145:$N145)*'Assumptions-Overall'!$H$43/(YEAR(PhaseIIIConEnd)-YEAR(PhaseIIIPreconBegin)+1)</f>
        <v>0</v>
      </c>
      <c r="N146" s="247"/>
    </row>
    <row r="147" spans="2:14" x14ac:dyDescent="0.2">
      <c r="B147" s="4" t="s">
        <v>183</v>
      </c>
      <c r="C147" s="12"/>
      <c r="D147" s="242">
        <f>(AND(D$8&gt;=YEAR(PhaseIIIPreconBegin),D$8&lt;=YEAR(PhaseIIIConEnd)))*SUM($D145:$N145)*'Assumptions-Overall'!$H$44/(YEAR(PhaseIIIConEnd)-YEAR(PhaseIIIPreconBegin)+1)</f>
        <v>0</v>
      </c>
      <c r="E147" s="242">
        <f>(AND(E$8&gt;=YEAR(PhaseIIIPreconBegin),E$8&lt;=YEAR(PhaseIIIConEnd)))*SUM($D145:$N145)*'Assumptions-Overall'!$H$44/(YEAR(PhaseIIIConEnd)-YEAR(PhaseIIIPreconBegin)+1)</f>
        <v>0</v>
      </c>
      <c r="F147" s="242">
        <f>(AND(F$8&gt;=YEAR(PhaseIIIPreconBegin),F$8&lt;=YEAR(PhaseIIIConEnd)))*SUM($D145:$N145)*'Assumptions-Overall'!$H$44/(YEAR(PhaseIIIConEnd)-YEAR(PhaseIIIPreconBegin)+1)</f>
        <v>0</v>
      </c>
      <c r="G147" s="242">
        <f>(AND(G$8&gt;=YEAR(PhaseIIIPreconBegin),G$8&lt;=YEAR(PhaseIIIConEnd)))*SUM($D145:$N145)*'Assumptions-Overall'!$H$44/(YEAR(PhaseIIIConEnd)-YEAR(PhaseIIIPreconBegin)+1)</f>
        <v>0</v>
      </c>
      <c r="H147" s="242">
        <f>(AND(H$8&gt;=YEAR(PhaseIIIPreconBegin),H$8&lt;=YEAR(PhaseIIIConEnd)))*SUM($D145:$N145)*'Assumptions-Overall'!$H$44/(YEAR(PhaseIIIConEnd)-YEAR(PhaseIIIPreconBegin)+1)</f>
        <v>0</v>
      </c>
      <c r="I147" s="242">
        <f>(AND(I$8&gt;=YEAR(PhaseIIIPreconBegin),I$8&lt;=YEAR(PhaseIIIConEnd)))*SUM($D145:$N145)*'Assumptions-Overall'!$H$44/(YEAR(PhaseIIIConEnd)-YEAR(PhaseIIIPreconBegin)+1)</f>
        <v>0</v>
      </c>
      <c r="J147" s="242">
        <f>(AND(J$8&gt;=YEAR(PhaseIIIPreconBegin),J$8&lt;=YEAR(PhaseIIIConEnd)))*SUM($D145:$N145)*'Assumptions-Overall'!$H$44/(YEAR(PhaseIIIConEnd)-YEAR(PhaseIIIPreconBegin)+1)</f>
        <v>0</v>
      </c>
      <c r="K147" s="242">
        <f>(AND(K$8&gt;=YEAR(PhaseIIIPreconBegin),K$8&lt;=YEAR(PhaseIIIConEnd)))*SUM($D145:$N145)*'Assumptions-Overall'!$H$44/(YEAR(PhaseIIIConEnd)-YEAR(PhaseIIIPreconBegin)+1)</f>
        <v>0</v>
      </c>
      <c r="L147" s="242">
        <f>(AND(L$8&gt;=YEAR(PhaseIIIPreconBegin),L$8&lt;=YEAR(PhaseIIIConEnd)))*SUM($D145:$N145)*'Assumptions-Overall'!$H$44/(YEAR(PhaseIIIConEnd)-YEAR(PhaseIIIPreconBegin)+1)</f>
        <v>0</v>
      </c>
      <c r="M147" s="242">
        <f>(AND(M$8&gt;=YEAR(PhaseIIIPreconBegin),M$8&lt;=YEAR(PhaseIIIConEnd)))*SUM($D145:$N145)*'Assumptions-Overall'!$H$44/(YEAR(PhaseIIIConEnd)-YEAR(PhaseIIIPreconBegin)+1)</f>
        <v>0</v>
      </c>
      <c r="N147" s="247"/>
    </row>
    <row r="148" spans="2:14" x14ac:dyDescent="0.2">
      <c r="B148" s="4" t="s">
        <v>184</v>
      </c>
      <c r="C148" s="12"/>
      <c r="D148" s="240">
        <f>SUM(D145:D147)*'Assumptions-Overall'!$H$45</f>
        <v>0</v>
      </c>
      <c r="E148" s="240">
        <f>SUM(E145:E147)*'Assumptions-Overall'!$H$45</f>
        <v>0</v>
      </c>
      <c r="F148" s="240">
        <f>SUM(F145:F147)*'Assumptions-Overall'!$H$45</f>
        <v>0</v>
      </c>
      <c r="G148" s="240">
        <f>SUM(G145:G147)*'Assumptions-Overall'!$H$45</f>
        <v>0</v>
      </c>
      <c r="H148" s="240">
        <f>SUM(H145:H147)*'Assumptions-Overall'!$H$45</f>
        <v>0</v>
      </c>
      <c r="I148" s="240">
        <f>SUM(I145:I147)*'Assumptions-Overall'!$H$45</f>
        <v>0</v>
      </c>
      <c r="J148" s="240">
        <f>SUM(J145:J147)*'Assumptions-Overall'!$H$45</f>
        <v>0</v>
      </c>
      <c r="K148" s="240">
        <f>SUM(K145:K147)*'Assumptions-Overall'!$H$45</f>
        <v>0</v>
      </c>
      <c r="L148" s="240">
        <f>SUM(L145:L147)*'Assumptions-Overall'!$H$45</f>
        <v>0</v>
      </c>
      <c r="M148" s="240">
        <f>SUM(M145:M147)*'Assumptions-Overall'!$H$45</f>
        <v>0</v>
      </c>
      <c r="N148" s="247"/>
    </row>
    <row r="149" spans="2:14" x14ac:dyDescent="0.2">
      <c r="B149" s="4" t="s">
        <v>313</v>
      </c>
      <c r="C149" s="12"/>
      <c r="D149" s="242">
        <f>SUM(D145:D148)</f>
        <v>0</v>
      </c>
      <c r="E149" s="242">
        <f t="shared" ref="E149" si="65">SUM(E145:E148)</f>
        <v>0</v>
      </c>
      <c r="F149" s="242">
        <f t="shared" ref="F149" si="66">SUM(F145:F148)</f>
        <v>0</v>
      </c>
      <c r="G149" s="242">
        <f t="shared" ref="G149" si="67">SUM(G145:G148)</f>
        <v>0</v>
      </c>
      <c r="H149" s="242">
        <f t="shared" ref="H149" si="68">SUM(H145:H148)</f>
        <v>0</v>
      </c>
      <c r="I149" s="242">
        <f t="shared" ref="I149" si="69">SUM(I145:I148)</f>
        <v>0</v>
      </c>
      <c r="J149" s="242">
        <f t="shared" ref="J149" si="70">SUM(J145:J148)</f>
        <v>0</v>
      </c>
      <c r="K149" s="242">
        <f t="shared" ref="K149" si="71">SUM(K145:K148)</f>
        <v>0</v>
      </c>
      <c r="L149" s="242">
        <f t="shared" ref="L149" si="72">SUM(L145:L148)</f>
        <v>0</v>
      </c>
      <c r="M149" s="242">
        <f t="shared" ref="M149" si="73">SUM(M145:M148)</f>
        <v>0</v>
      </c>
      <c r="N149" s="247"/>
    </row>
    <row r="150" spans="2:14" x14ac:dyDescent="0.2">
      <c r="B150" s="4"/>
      <c r="C150" s="1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7"/>
    </row>
    <row r="151" spans="2:14" x14ac:dyDescent="0.2">
      <c r="B151" s="53" t="s">
        <v>314</v>
      </c>
      <c r="C151" s="1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7"/>
    </row>
    <row r="152" spans="2:14" x14ac:dyDescent="0.2">
      <c r="B152" s="4" t="s">
        <v>316</v>
      </c>
      <c r="C152" s="12"/>
      <c r="D152" s="242">
        <f>(D$8=YEAR('Assumptions-Overall'!$C$30))*E138/'Assumptions-Overall'!$Y$18</f>
        <v>0</v>
      </c>
      <c r="E152" s="242">
        <f>(E$8=YEAR('Assumptions-Overall'!$C$30))*F138/'Assumptions-Overall'!$Y$18</f>
        <v>0</v>
      </c>
      <c r="F152" s="242">
        <f>(F$8=YEAR('Assumptions-Overall'!$C$30))*G138/'Assumptions-Overall'!$Y$18</f>
        <v>0</v>
      </c>
      <c r="G152" s="242">
        <f>(G$8=YEAR('Assumptions-Overall'!$C$30))*H138/'Assumptions-Overall'!$Y$18</f>
        <v>0</v>
      </c>
      <c r="H152" s="242">
        <f>(H$8=YEAR('Assumptions-Overall'!$C$30))*I138/'Assumptions-Overall'!$Y$18</f>
        <v>0</v>
      </c>
      <c r="I152" s="242">
        <f>(I$8=YEAR('Assumptions-Overall'!$C$30))*J138/'Assumptions-Overall'!$Y$18</f>
        <v>0</v>
      </c>
      <c r="J152" s="242">
        <f>(J$8=YEAR('Assumptions-Overall'!$C$30))*K138/'Assumptions-Overall'!$Y$18</f>
        <v>0</v>
      </c>
      <c r="K152" s="242">
        <f>(K$8=YEAR('Assumptions-Overall'!$C$30))*L138/'Assumptions-Overall'!$Y$18</f>
        <v>0</v>
      </c>
      <c r="L152" s="242">
        <f>(L$8=YEAR('Assumptions-Overall'!$C$30))*M138/'Assumptions-Overall'!$Y$18</f>
        <v>0</v>
      </c>
      <c r="M152" s="242">
        <f>(M$8=YEAR('Assumptions-Overall'!$C$30))*N138/'Assumptions-Overall'!$Y$18</f>
        <v>0</v>
      </c>
      <c r="N152" s="247"/>
    </row>
    <row r="153" spans="2:14" x14ac:dyDescent="0.2">
      <c r="B153" s="4" t="s">
        <v>317</v>
      </c>
      <c r="C153" s="12"/>
      <c r="D153" s="240">
        <f>-D152*'Assumptions-Overall'!$U$27</f>
        <v>0</v>
      </c>
      <c r="E153" s="240">
        <f>-E152*'Assumptions-Overall'!$U$27</f>
        <v>0</v>
      </c>
      <c r="F153" s="240">
        <f>-F152*'Assumptions-Overall'!$U$27</f>
        <v>0</v>
      </c>
      <c r="G153" s="240">
        <f>-G152*'Assumptions-Overall'!$U$27</f>
        <v>0</v>
      </c>
      <c r="H153" s="240">
        <f>-H152*'Assumptions-Overall'!$U$27</f>
        <v>0</v>
      </c>
      <c r="I153" s="240">
        <f>-I152*'Assumptions-Overall'!$U$27</f>
        <v>0</v>
      </c>
      <c r="J153" s="240">
        <f>-J152*'Assumptions-Overall'!$U$27</f>
        <v>0</v>
      </c>
      <c r="K153" s="240">
        <f>-K152*'Assumptions-Overall'!$U$27</f>
        <v>0</v>
      </c>
      <c r="L153" s="240">
        <f>-L152*'Assumptions-Overall'!$U$27</f>
        <v>0</v>
      </c>
      <c r="M153" s="240">
        <f>-M152*'Assumptions-Overall'!$U$27</f>
        <v>0</v>
      </c>
      <c r="N153" s="247"/>
    </row>
    <row r="154" spans="2:14" x14ac:dyDescent="0.2">
      <c r="B154" s="4" t="s">
        <v>318</v>
      </c>
      <c r="C154" s="12"/>
      <c r="D154" s="242">
        <f>SUM(D152:D153)</f>
        <v>0</v>
      </c>
      <c r="E154" s="242">
        <f t="shared" ref="E154" si="74">SUM(E152:E153)</f>
        <v>0</v>
      </c>
      <c r="F154" s="242">
        <f t="shared" ref="F154" si="75">SUM(F152:F153)</f>
        <v>0</v>
      </c>
      <c r="G154" s="242">
        <f t="shared" ref="G154" si="76">SUM(G152:G153)</f>
        <v>0</v>
      </c>
      <c r="H154" s="242">
        <f t="shared" ref="H154" si="77">SUM(H152:H153)</f>
        <v>0</v>
      </c>
      <c r="I154" s="242">
        <f t="shared" ref="I154" si="78">SUM(I152:I153)</f>
        <v>0</v>
      </c>
      <c r="J154" s="242">
        <f t="shared" ref="J154" si="79">SUM(J152:J153)</f>
        <v>0</v>
      </c>
      <c r="K154" s="242">
        <f t="shared" ref="K154" si="80">SUM(K152:K153)</f>
        <v>0</v>
      </c>
      <c r="L154" s="242">
        <f t="shared" ref="L154" si="81">SUM(L152:L153)</f>
        <v>0</v>
      </c>
      <c r="M154" s="242">
        <f t="shared" ref="M154" si="82">SUM(M152:M153)</f>
        <v>0</v>
      </c>
      <c r="N154" s="247"/>
    </row>
    <row r="155" spans="2:14" x14ac:dyDescent="0.2">
      <c r="B155" s="4"/>
      <c r="C155" s="1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7"/>
    </row>
    <row r="156" spans="2:14" x14ac:dyDescent="0.2">
      <c r="B156" s="4" t="s">
        <v>315</v>
      </c>
      <c r="C156" s="12"/>
      <c r="D156" s="242">
        <f t="shared" ref="D156:M156" si="83">D142+D149+D154</f>
        <v>0</v>
      </c>
      <c r="E156" s="242">
        <f t="shared" si="83"/>
        <v>0</v>
      </c>
      <c r="F156" s="242">
        <f t="shared" si="83"/>
        <v>0</v>
      </c>
      <c r="G156" s="242">
        <f t="shared" si="83"/>
        <v>0</v>
      </c>
      <c r="H156" s="242">
        <f t="shared" si="83"/>
        <v>0</v>
      </c>
      <c r="I156" s="242">
        <f t="shared" si="83"/>
        <v>0</v>
      </c>
      <c r="J156" s="242">
        <f t="shared" si="83"/>
        <v>0</v>
      </c>
      <c r="K156" s="242">
        <f t="shared" si="83"/>
        <v>0</v>
      </c>
      <c r="L156" s="242">
        <f t="shared" si="83"/>
        <v>0</v>
      </c>
      <c r="M156" s="242">
        <f t="shared" si="83"/>
        <v>0</v>
      </c>
      <c r="N156" s="247"/>
    </row>
    <row r="157" spans="2:14" x14ac:dyDescent="0.2">
      <c r="B157" s="4" t="s">
        <v>320</v>
      </c>
      <c r="C157" s="254" t="str">
        <f>IFERROR(IRR(D156:M156),"n/a")</f>
        <v>n/a</v>
      </c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7"/>
    </row>
    <row r="158" spans="2:14" ht="12.75" thickBot="1" x14ac:dyDescent="0.25">
      <c r="B158" s="6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6"/>
    </row>
    <row r="160" spans="2:14" x14ac:dyDescent="0.2">
      <c r="B160" s="1" t="s">
        <v>407</v>
      </c>
      <c r="D160" s="285">
        <f>D156+D106+D56</f>
        <v>-14879549.822510203</v>
      </c>
      <c r="E160" s="285">
        <f t="shared" ref="E160:M160" si="84">E156+E106+E56</f>
        <v>-14879549.822510203</v>
      </c>
      <c r="F160" s="285">
        <f t="shared" si="84"/>
        <v>-165426204.99898791</v>
      </c>
      <c r="G160" s="285">
        <f t="shared" si="84"/>
        <v>-169614677.85542992</v>
      </c>
      <c r="H160" s="285">
        <f t="shared" si="84"/>
        <v>-96567525.449134886</v>
      </c>
      <c r="I160" s="285">
        <f t="shared" si="84"/>
        <v>-87407766.137379259</v>
      </c>
      <c r="J160" s="285">
        <f t="shared" si="84"/>
        <v>42476515.067718171</v>
      </c>
      <c r="K160" s="285">
        <f t="shared" si="84"/>
        <v>52367126.189341746</v>
      </c>
      <c r="L160" s="285">
        <f t="shared" si="84"/>
        <v>53938139.975021981</v>
      </c>
      <c r="M160" s="285">
        <f t="shared" si="84"/>
        <v>1321768475.2076688</v>
      </c>
    </row>
    <row r="161" spans="2:3" x14ac:dyDescent="0.2">
      <c r="B161" s="1" t="s">
        <v>408</v>
      </c>
      <c r="C161" s="286">
        <f>IRR(D160:M160)</f>
        <v>0.18409235264218515</v>
      </c>
    </row>
  </sheetData>
  <mergeCells count="2">
    <mergeCell ref="B2:C2"/>
    <mergeCell ref="B6:N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4E49-DE80-40A9-8CF1-96A0AE44D3BA}">
  <sheetPr>
    <tabColor theme="8" tint="0.39997558519241921"/>
  </sheetPr>
  <dimension ref="B1:N17"/>
  <sheetViews>
    <sheetView workbookViewId="0">
      <selection activeCell="H6" sqref="H6:K9"/>
    </sheetView>
    <sheetView workbookViewId="1"/>
  </sheetViews>
  <sheetFormatPr defaultRowHeight="12" x14ac:dyDescent="0.2"/>
  <cols>
    <col min="1" max="1" width="2.85546875" style="1" customWidth="1"/>
    <col min="2" max="2" width="22.42578125" style="1" bestFit="1" customWidth="1"/>
    <col min="3" max="3" width="9.140625" style="1"/>
    <col min="4" max="4" width="6.7109375" style="1" bestFit="1" customWidth="1"/>
    <col min="5" max="5" width="7.28515625" style="1" bestFit="1" customWidth="1"/>
    <col min="6" max="6" width="7.85546875" style="1" bestFit="1" customWidth="1"/>
    <col min="7" max="7" width="2.85546875" style="1" customWidth="1"/>
    <col min="8" max="8" width="14.7109375" style="1" bestFit="1" customWidth="1"/>
    <col min="9" max="9" width="11.7109375" style="1" bestFit="1" customWidth="1"/>
    <col min="10" max="10" width="16.7109375" style="1" bestFit="1" customWidth="1"/>
    <col min="11" max="11" width="14.28515625" style="1" bestFit="1" customWidth="1"/>
    <col min="12" max="12" width="2.85546875" style="1" customWidth="1"/>
    <col min="13" max="13" width="20.7109375" style="1" bestFit="1" customWidth="1"/>
    <col min="14" max="14" width="21.5703125" style="1" bestFit="1" customWidth="1"/>
    <col min="15" max="16384" width="9.140625" style="1"/>
  </cols>
  <sheetData>
    <row r="1" spans="2:14" ht="12.75" thickBot="1" x14ac:dyDescent="0.25"/>
    <row r="2" spans="2:14" x14ac:dyDescent="0.2">
      <c r="B2" s="417" t="s">
        <v>59</v>
      </c>
      <c r="C2" s="418"/>
    </row>
    <row r="3" spans="2:14" x14ac:dyDescent="0.2">
      <c r="B3" s="4" t="s">
        <v>58</v>
      </c>
      <c r="C3" s="5" t="str">
        <f>ProjectName</f>
        <v>Montage</v>
      </c>
    </row>
    <row r="4" spans="2:14" ht="12.75" thickBot="1" x14ac:dyDescent="0.25">
      <c r="B4" s="6" t="s">
        <v>56</v>
      </c>
      <c r="C4" s="7">
        <f>TeamNumber</f>
        <v>181430</v>
      </c>
    </row>
    <row r="5" spans="2:14" ht="12.75" thickBot="1" x14ac:dyDescent="0.25"/>
    <row r="6" spans="2:14" x14ac:dyDescent="0.2">
      <c r="B6" s="419" t="s">
        <v>267</v>
      </c>
      <c r="C6" s="420"/>
      <c r="D6" s="420"/>
      <c r="E6" s="420"/>
      <c r="F6" s="421"/>
      <c r="H6" s="419" t="s">
        <v>270</v>
      </c>
      <c r="I6" s="420"/>
      <c r="J6" s="420"/>
      <c r="K6" s="421"/>
      <c r="M6" s="419" t="s">
        <v>250</v>
      </c>
      <c r="N6" s="421"/>
    </row>
    <row r="7" spans="2:14" x14ac:dyDescent="0.2">
      <c r="B7" s="50"/>
      <c r="C7" s="34"/>
      <c r="D7" s="64" t="s">
        <v>171</v>
      </c>
      <c r="E7" s="34" t="s">
        <v>171</v>
      </c>
      <c r="F7" s="5" t="s">
        <v>171</v>
      </c>
      <c r="H7" s="53" t="s">
        <v>271</v>
      </c>
      <c r="I7" s="160" t="s">
        <v>272</v>
      </c>
      <c r="J7" s="54" t="s">
        <v>273</v>
      </c>
      <c r="K7" s="56" t="s">
        <v>274</v>
      </c>
      <c r="M7" s="53" t="s">
        <v>278</v>
      </c>
      <c r="N7" s="56" t="s">
        <v>275</v>
      </c>
    </row>
    <row r="8" spans="2:14" x14ac:dyDescent="0.2">
      <c r="B8" s="53" t="s">
        <v>271</v>
      </c>
      <c r="C8" s="54" t="s">
        <v>170</v>
      </c>
      <c r="D8" s="55" t="s">
        <v>29</v>
      </c>
      <c r="E8" s="54" t="s">
        <v>28</v>
      </c>
      <c r="F8" s="56" t="s">
        <v>27</v>
      </c>
      <c r="H8" s="4" t="str">
        <f>B9</f>
        <v>Lifestyle Hotel</v>
      </c>
      <c r="I8" s="161">
        <v>275</v>
      </c>
      <c r="J8" s="187">
        <v>0.85</v>
      </c>
      <c r="K8" s="234">
        <f>I8*J8</f>
        <v>233.75</v>
      </c>
      <c r="M8" s="4" t="s">
        <v>276</v>
      </c>
      <c r="N8" s="96">
        <v>0.3</v>
      </c>
    </row>
    <row r="9" spans="2:14" ht="12.75" thickBot="1" x14ac:dyDescent="0.25">
      <c r="B9" s="4" t="s">
        <v>268</v>
      </c>
      <c r="C9" s="57">
        <f>SUM(D9:F9)</f>
        <v>402</v>
      </c>
      <c r="D9" s="58">
        <v>0</v>
      </c>
      <c r="E9" s="57">
        <v>0</v>
      </c>
      <c r="F9" s="59">
        <f>BuildingSummary!P61</f>
        <v>402</v>
      </c>
      <c r="H9" s="6" t="str">
        <f>B10</f>
        <v>Boutique Hotel</v>
      </c>
      <c r="I9" s="162">
        <v>235</v>
      </c>
      <c r="J9" s="188">
        <v>0.85</v>
      </c>
      <c r="K9" s="235">
        <f>I9*J9</f>
        <v>199.75</v>
      </c>
      <c r="M9" s="4" t="s">
        <v>277</v>
      </c>
      <c r="N9" s="96">
        <v>0.05</v>
      </c>
    </row>
    <row r="10" spans="2:14" x14ac:dyDescent="0.2">
      <c r="B10" s="4" t="s">
        <v>269</v>
      </c>
      <c r="C10" s="60">
        <f>SUM(D10:F10)</f>
        <v>250</v>
      </c>
      <c r="D10" s="61">
        <v>0</v>
      </c>
      <c r="E10" s="62">
        <v>0</v>
      </c>
      <c r="F10" s="63">
        <f>BuildingSummary!L61</f>
        <v>250</v>
      </c>
      <c r="M10" s="4"/>
      <c r="N10" s="96"/>
    </row>
    <row r="11" spans="2:14" ht="12.75" thickBot="1" x14ac:dyDescent="0.25">
      <c r="B11" s="6" t="s">
        <v>32</v>
      </c>
      <c r="C11" s="65">
        <f>SUM(C9:C10)</f>
        <v>652</v>
      </c>
      <c r="D11" s="66">
        <f>SUM(D9:D10)</f>
        <v>0</v>
      </c>
      <c r="E11" s="65">
        <f>SUM(E9:E10)</f>
        <v>0</v>
      </c>
      <c r="F11" s="67">
        <f>SUM(F9:F10)</f>
        <v>652</v>
      </c>
      <c r="M11" s="53" t="s">
        <v>279</v>
      </c>
      <c r="N11" s="56" t="s">
        <v>280</v>
      </c>
    </row>
    <row r="12" spans="2:14" x14ac:dyDescent="0.2">
      <c r="M12" s="4" t="str">
        <f>M8</f>
        <v>Food &amp; Beverage</v>
      </c>
      <c r="N12" s="96">
        <v>0.3</v>
      </c>
    </row>
    <row r="13" spans="2:14" x14ac:dyDescent="0.2">
      <c r="M13" s="4" t="str">
        <f>M9</f>
        <v>Other Departments</v>
      </c>
      <c r="N13" s="96">
        <v>0.1</v>
      </c>
    </row>
    <row r="14" spans="2:14" x14ac:dyDescent="0.2">
      <c r="M14" s="4"/>
      <c r="N14" s="13"/>
    </row>
    <row r="15" spans="2:14" x14ac:dyDescent="0.2">
      <c r="M15" s="53" t="s">
        <v>281</v>
      </c>
      <c r="N15" s="56" t="s">
        <v>282</v>
      </c>
    </row>
    <row r="16" spans="2:14" x14ac:dyDescent="0.2">
      <c r="M16" s="4" t="s">
        <v>207</v>
      </c>
      <c r="N16" s="216">
        <v>60000</v>
      </c>
    </row>
    <row r="17" spans="13:14" ht="12.75" thickBot="1" x14ac:dyDescent="0.25">
      <c r="M17" s="6" t="s">
        <v>283</v>
      </c>
      <c r="N17" s="217">
        <v>10000</v>
      </c>
    </row>
  </sheetData>
  <mergeCells count="4">
    <mergeCell ref="B2:C2"/>
    <mergeCell ref="B6:F6"/>
    <mergeCell ref="H6:K6"/>
    <mergeCell ref="M6:N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C1B0-90FE-4FF4-9167-356BD183EF81}">
  <sheetPr>
    <tabColor theme="2" tint="-0.499984740745262"/>
  </sheetPr>
  <dimension ref="B1:N207"/>
  <sheetViews>
    <sheetView topLeftCell="A118" workbookViewId="0"/>
    <sheetView workbookViewId="1"/>
  </sheetViews>
  <sheetFormatPr defaultRowHeight="12" x14ac:dyDescent="0.2"/>
  <cols>
    <col min="1" max="1" width="2.85546875" style="1" customWidth="1"/>
    <col min="2" max="2" width="35.85546875" style="1" bestFit="1" customWidth="1"/>
    <col min="3" max="3" width="9.140625" style="1"/>
    <col min="4" max="14" width="11.42578125" style="1" customWidth="1"/>
    <col min="15" max="16384" width="9.140625" style="1"/>
  </cols>
  <sheetData>
    <row r="1" spans="2:14" ht="12.75" thickBot="1" x14ac:dyDescent="0.25"/>
    <row r="2" spans="2:14" x14ac:dyDescent="0.2">
      <c r="B2" s="417" t="s">
        <v>59</v>
      </c>
      <c r="C2" s="418"/>
    </row>
    <row r="3" spans="2:14" x14ac:dyDescent="0.2">
      <c r="B3" s="4" t="s">
        <v>58</v>
      </c>
      <c r="C3" s="5" t="str">
        <f>ProjectName</f>
        <v>Montage</v>
      </c>
    </row>
    <row r="4" spans="2:14" ht="12.75" thickBot="1" x14ac:dyDescent="0.25">
      <c r="B4" s="6" t="s">
        <v>56</v>
      </c>
      <c r="C4" s="7">
        <f>TeamNumber</f>
        <v>181430</v>
      </c>
    </row>
    <row r="5" spans="2:14" ht="12.75" thickBot="1" x14ac:dyDescent="0.25"/>
    <row r="6" spans="2:14" x14ac:dyDescent="0.2">
      <c r="B6" s="419" t="s">
        <v>342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1"/>
    </row>
    <row r="7" spans="2:14" x14ac:dyDescent="0.2">
      <c r="B7" s="4" t="s">
        <v>290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">
      <c r="B8" s="4" t="s">
        <v>291</v>
      </c>
      <c r="C8" s="12"/>
      <c r="D8" s="12">
        <f>YEAR('Assumptions-Overall'!C9)</f>
        <v>2018</v>
      </c>
      <c r="E8" s="12">
        <f>D8+1</f>
        <v>2019</v>
      </c>
      <c r="F8" s="12">
        <f t="shared" si="0"/>
        <v>2020</v>
      </c>
      <c r="G8" s="12">
        <f t="shared" si="0"/>
        <v>2021</v>
      </c>
      <c r="H8" s="12">
        <f t="shared" si="0"/>
        <v>2022</v>
      </c>
      <c r="I8" s="12">
        <f t="shared" si="0"/>
        <v>2023</v>
      </c>
      <c r="J8" s="12">
        <f t="shared" si="0"/>
        <v>2024</v>
      </c>
      <c r="K8" s="12">
        <f t="shared" si="0"/>
        <v>2025</v>
      </c>
      <c r="L8" s="12">
        <f t="shared" si="0"/>
        <v>2026</v>
      </c>
      <c r="M8" s="12">
        <f t="shared" si="0"/>
        <v>2027</v>
      </c>
      <c r="N8" s="13">
        <f t="shared" si="0"/>
        <v>2028</v>
      </c>
    </row>
    <row r="9" spans="2:14" x14ac:dyDescent="0.2">
      <c r="B9" s="4" t="s">
        <v>345</v>
      </c>
      <c r="C9" s="12"/>
      <c r="D9" s="12">
        <f>_xlfn.NUMBERVALUE("12/31/"&amp;D8)-_xlfn.NUMBERVALUE("1/1/"&amp;D8)+1</f>
        <v>365</v>
      </c>
      <c r="E9" s="12">
        <f t="shared" ref="E9:N9" si="1">_xlfn.NUMBERVALUE("12/31/"&amp;E8)-_xlfn.NUMBERVALUE("1/1/"&amp;E8)+1</f>
        <v>365</v>
      </c>
      <c r="F9" s="12">
        <f t="shared" si="1"/>
        <v>366</v>
      </c>
      <c r="G9" s="12">
        <f t="shared" si="1"/>
        <v>365</v>
      </c>
      <c r="H9" s="12">
        <f t="shared" si="1"/>
        <v>365</v>
      </c>
      <c r="I9" s="12">
        <f t="shared" si="1"/>
        <v>365</v>
      </c>
      <c r="J9" s="12">
        <f t="shared" si="1"/>
        <v>366</v>
      </c>
      <c r="K9" s="12">
        <f t="shared" si="1"/>
        <v>365</v>
      </c>
      <c r="L9" s="12">
        <f t="shared" si="1"/>
        <v>365</v>
      </c>
      <c r="M9" s="12">
        <f t="shared" si="1"/>
        <v>365</v>
      </c>
      <c r="N9" s="13">
        <f t="shared" si="1"/>
        <v>366</v>
      </c>
    </row>
    <row r="10" spans="2:14" x14ac:dyDescent="0.2"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">
      <c r="B11" s="243" t="s">
        <v>292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2:14" x14ac:dyDescent="0.2">
      <c r="B12" s="4" t="s">
        <v>293</v>
      </c>
      <c r="C12" s="12"/>
      <c r="D12" s="244">
        <f>(D$8&gt;=YEAR(PhaseIComplete))*SUMIF(BuildingSummary!$R$18:$T$18,"I",BuildingSummary!$R$23:$T$23)</f>
        <v>0</v>
      </c>
      <c r="E12" s="244">
        <f>(E$8&gt;=YEAR(PhaseIComplete))*SUMIF(BuildingSummary!$R$18:$T$18,"I",BuildingSummary!$R$23:$T$23)</f>
        <v>0</v>
      </c>
      <c r="F12" s="244">
        <f>(F$8&gt;=YEAR(PhaseIComplete))*SUMIF(BuildingSummary!$R$18:$T$18,"I",BuildingSummary!$R$23:$T$23)</f>
        <v>0</v>
      </c>
      <c r="G12" s="244">
        <f>(G$8&gt;=YEAR(PhaseIComplete))*SUMIF(BuildingSummary!$R$18:$T$18,"I",BuildingSummary!$R$23:$T$23)</f>
        <v>0</v>
      </c>
      <c r="H12" s="244">
        <f>(H$8&gt;=YEAR(PhaseIComplete))*SUMIF(BuildingSummary!$R$18:$T$18,"I",BuildingSummary!$R$23:$T$23)</f>
        <v>0</v>
      </c>
      <c r="I12" s="244">
        <f>(I$8&gt;=YEAR(PhaseIComplete))*SUMIF(BuildingSummary!$R$18:$T$18,"I",BuildingSummary!$R$23:$T$23)</f>
        <v>0</v>
      </c>
      <c r="J12" s="244">
        <f>(J$8&gt;=YEAR(PhaseIComplete))*SUMIF(BuildingSummary!$R$18:$T$18,"I",BuildingSummary!$R$23:$T$23)</f>
        <v>0</v>
      </c>
      <c r="K12" s="244">
        <f>(K$8&gt;=YEAR(PhaseIComplete))*SUMIF(BuildingSummary!$R$18:$T$18,"I",BuildingSummary!$R$23:$T$23)</f>
        <v>0</v>
      </c>
      <c r="L12" s="244">
        <f>(L$8&gt;=YEAR(PhaseIComplete))*SUMIF(BuildingSummary!$R$18:$T$18,"I",BuildingSummary!$R$23:$T$23)</f>
        <v>0</v>
      </c>
      <c r="M12" s="244">
        <f>(M$8&gt;=YEAR(PhaseIComplete))*SUMIF(BuildingSummary!$R$18:$T$18,"I",BuildingSummary!$R$23:$T$23)</f>
        <v>0</v>
      </c>
      <c r="N12" s="245">
        <f>(N$8&gt;=YEAR(PhaseIComplete))*SUMIF(BuildingSummary!$R$18:$T$18,"I",BuildingSummary!$R$23:$T$23)</f>
        <v>0</v>
      </c>
    </row>
    <row r="13" spans="2:14" x14ac:dyDescent="0.2">
      <c r="B13" s="4" t="s">
        <v>294</v>
      </c>
      <c r="C13" s="12"/>
      <c r="D13" s="244">
        <f>D12-C12</f>
        <v>0</v>
      </c>
      <c r="E13" s="244">
        <f t="shared" ref="E13" si="2">E12-D12</f>
        <v>0</v>
      </c>
      <c r="F13" s="244">
        <f t="shared" ref="F13" si="3">F12-E12</f>
        <v>0</v>
      </c>
      <c r="G13" s="244">
        <f t="shared" ref="G13" si="4">G12-F12</f>
        <v>0</v>
      </c>
      <c r="H13" s="244">
        <f t="shared" ref="H13" si="5">H12-G12</f>
        <v>0</v>
      </c>
      <c r="I13" s="244">
        <f t="shared" ref="I13" si="6">I12-H12</f>
        <v>0</v>
      </c>
      <c r="J13" s="244">
        <f t="shared" ref="J13" si="7">J12-I12</f>
        <v>0</v>
      </c>
      <c r="K13" s="244">
        <f t="shared" ref="K13" si="8">K12-J12</f>
        <v>0</v>
      </c>
      <c r="L13" s="244">
        <f t="shared" ref="L13" si="9">L12-K12</f>
        <v>0</v>
      </c>
      <c r="M13" s="244">
        <f t="shared" ref="M13" si="10">M12-L12</f>
        <v>0</v>
      </c>
      <c r="N13" s="245">
        <f t="shared" ref="N13" si="11">N12-M12</f>
        <v>0</v>
      </c>
    </row>
    <row r="14" spans="2:14" x14ac:dyDescent="0.2">
      <c r="B14" s="4"/>
      <c r="C14" s="12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</row>
    <row r="15" spans="2:14" x14ac:dyDescent="0.2">
      <c r="B15" s="53" t="s">
        <v>343</v>
      </c>
      <c r="C15" s="12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5"/>
    </row>
    <row r="16" spans="2:14" x14ac:dyDescent="0.2">
      <c r="B16" s="4" t="str">
        <f>'Assumptions-Hotel'!B9</f>
        <v>Lifestyle Hotel</v>
      </c>
      <c r="C16" s="12"/>
      <c r="D16" s="244">
        <f>(D$8&gt;=YEAR(PhaseIComplete))*'Assumptions-Hotel'!$D9</f>
        <v>0</v>
      </c>
      <c r="E16" s="244">
        <f>(E$8&gt;=YEAR(PhaseIComplete))*'Assumptions-Hotel'!$D9</f>
        <v>0</v>
      </c>
      <c r="F16" s="244">
        <f>(F$8&gt;=YEAR(PhaseIComplete))*'Assumptions-Hotel'!$D9</f>
        <v>0</v>
      </c>
      <c r="G16" s="244">
        <f>(G$8&gt;=YEAR(PhaseIComplete))*'Assumptions-Hotel'!$D9</f>
        <v>0</v>
      </c>
      <c r="H16" s="244">
        <f>(H$8&gt;=YEAR(PhaseIComplete))*'Assumptions-Hotel'!$D9</f>
        <v>0</v>
      </c>
      <c r="I16" s="244">
        <f>(I$8&gt;=YEAR(PhaseIComplete))*'Assumptions-Hotel'!$D9</f>
        <v>0</v>
      </c>
      <c r="J16" s="244">
        <f>(J$8&gt;=YEAR(PhaseIComplete))*'Assumptions-Hotel'!$D9</f>
        <v>0</v>
      </c>
      <c r="K16" s="244">
        <f>(K$8&gt;=YEAR(PhaseIComplete))*'Assumptions-Hotel'!$D9</f>
        <v>0</v>
      </c>
      <c r="L16" s="244">
        <f>(L$8&gt;=YEAR(PhaseIComplete))*'Assumptions-Hotel'!$D9</f>
        <v>0</v>
      </c>
      <c r="M16" s="244">
        <f>(M$8&gt;=YEAR(PhaseIComplete))*'Assumptions-Hotel'!$D9</f>
        <v>0</v>
      </c>
      <c r="N16" s="245">
        <f>(N$8&gt;=YEAR(PhaseIComplete))*'Assumptions-Hotel'!$D9</f>
        <v>0</v>
      </c>
    </row>
    <row r="17" spans="2:14" x14ac:dyDescent="0.2">
      <c r="B17" s="4" t="str">
        <f>'Assumptions-Hotel'!B10</f>
        <v>Boutique Hotel</v>
      </c>
      <c r="C17" s="12"/>
      <c r="D17" s="244">
        <f>(D$8&gt;=YEAR(PhaseIComplete))*'Assumptions-Hotel'!$D10</f>
        <v>0</v>
      </c>
      <c r="E17" s="244">
        <f>(E$8&gt;=YEAR(PhaseIComplete))*'Assumptions-Hotel'!$D10</f>
        <v>0</v>
      </c>
      <c r="F17" s="244">
        <f>(F$8&gt;=YEAR(PhaseIComplete))*'Assumptions-Hotel'!$D10</f>
        <v>0</v>
      </c>
      <c r="G17" s="244">
        <f>(G$8&gt;=YEAR(PhaseIComplete))*'Assumptions-Hotel'!$D10</f>
        <v>0</v>
      </c>
      <c r="H17" s="244">
        <f>(H$8&gt;=YEAR(PhaseIComplete))*'Assumptions-Hotel'!$D10</f>
        <v>0</v>
      </c>
      <c r="I17" s="244">
        <f>(I$8&gt;=YEAR(PhaseIComplete))*'Assumptions-Hotel'!$D10</f>
        <v>0</v>
      </c>
      <c r="J17" s="244">
        <f>(J$8&gt;=YEAR(PhaseIComplete))*'Assumptions-Hotel'!$D10</f>
        <v>0</v>
      </c>
      <c r="K17" s="244">
        <f>(K$8&gt;=YEAR(PhaseIComplete))*'Assumptions-Hotel'!$D10</f>
        <v>0</v>
      </c>
      <c r="L17" s="244">
        <f>(L$8&gt;=YEAR(PhaseIComplete))*'Assumptions-Hotel'!$D10</f>
        <v>0</v>
      </c>
      <c r="M17" s="244">
        <f>(M$8&gt;=YEAR(PhaseIComplete))*'Assumptions-Hotel'!$D10</f>
        <v>0</v>
      </c>
      <c r="N17" s="245">
        <f>(N$8&gt;=YEAR(PhaseIComplete))*'Assumptions-Hotel'!$D10</f>
        <v>0</v>
      </c>
    </row>
    <row r="18" spans="2:14" x14ac:dyDescent="0.2">
      <c r="B18" s="4"/>
      <c r="C18" s="12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5"/>
    </row>
    <row r="19" spans="2:14" x14ac:dyDescent="0.2">
      <c r="B19" s="53" t="s">
        <v>347</v>
      </c>
      <c r="C19" s="12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5"/>
    </row>
    <row r="20" spans="2:14" x14ac:dyDescent="0.2">
      <c r="B20" s="4" t="s">
        <v>348</v>
      </c>
      <c r="C20" s="12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</row>
    <row r="21" spans="2:14" x14ac:dyDescent="0.2">
      <c r="B21" s="246" t="str">
        <f>B16</f>
        <v>Lifestyle Hotel</v>
      </c>
      <c r="C21" s="12"/>
      <c r="D21" s="257">
        <f>'Assumptions-Hotel'!$I8</f>
        <v>275</v>
      </c>
      <c r="E21" s="257">
        <f>'Assumptions-Hotel'!$I8</f>
        <v>275</v>
      </c>
      <c r="F21" s="257">
        <f>'Assumptions-Hotel'!$I8</f>
        <v>275</v>
      </c>
      <c r="G21" s="257">
        <f>'Assumptions-Hotel'!$I8</f>
        <v>275</v>
      </c>
      <c r="H21" s="257">
        <f>'Assumptions-Hotel'!$I8</f>
        <v>275</v>
      </c>
      <c r="I21" s="257">
        <f>'Assumptions-Hotel'!$I8</f>
        <v>275</v>
      </c>
      <c r="J21" s="257">
        <f>'Assumptions-Hotel'!$I8</f>
        <v>275</v>
      </c>
      <c r="K21" s="257">
        <f>'Assumptions-Hotel'!$I8</f>
        <v>275</v>
      </c>
      <c r="L21" s="257">
        <f>'Assumptions-Hotel'!$I8</f>
        <v>275</v>
      </c>
      <c r="M21" s="257">
        <f>'Assumptions-Hotel'!$I8</f>
        <v>275</v>
      </c>
      <c r="N21" s="258">
        <f>'Assumptions-Hotel'!$I8</f>
        <v>275</v>
      </c>
    </row>
    <row r="22" spans="2:14" x14ac:dyDescent="0.2">
      <c r="B22" s="246" t="str">
        <f>B17</f>
        <v>Boutique Hotel</v>
      </c>
      <c r="C22" s="12"/>
      <c r="D22" s="257">
        <f>'Assumptions-Hotel'!$I9</f>
        <v>235</v>
      </c>
      <c r="E22" s="257">
        <f>'Assumptions-Hotel'!$I9</f>
        <v>235</v>
      </c>
      <c r="F22" s="257">
        <f>'Assumptions-Hotel'!$I9</f>
        <v>235</v>
      </c>
      <c r="G22" s="257">
        <f>'Assumptions-Hotel'!$I9</f>
        <v>235</v>
      </c>
      <c r="H22" s="257">
        <f>'Assumptions-Hotel'!$I9</f>
        <v>235</v>
      </c>
      <c r="I22" s="257">
        <f>'Assumptions-Hotel'!$I9</f>
        <v>235</v>
      </c>
      <c r="J22" s="257">
        <f>'Assumptions-Hotel'!$I9</f>
        <v>235</v>
      </c>
      <c r="K22" s="257">
        <f>'Assumptions-Hotel'!$I9</f>
        <v>235</v>
      </c>
      <c r="L22" s="257">
        <f>'Assumptions-Hotel'!$I9</f>
        <v>235</v>
      </c>
      <c r="M22" s="257">
        <f>'Assumptions-Hotel'!$I9</f>
        <v>235</v>
      </c>
      <c r="N22" s="258">
        <f>'Assumptions-Hotel'!$I9</f>
        <v>235</v>
      </c>
    </row>
    <row r="23" spans="2:14" x14ac:dyDescent="0.2">
      <c r="B23" s="4" t="s">
        <v>349</v>
      </c>
      <c r="C23" s="12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5"/>
    </row>
    <row r="24" spans="2:14" x14ac:dyDescent="0.2">
      <c r="B24" s="246" t="str">
        <f>B21</f>
        <v>Lifestyle Hotel</v>
      </c>
      <c r="C24" s="12"/>
      <c r="D24" s="211">
        <f>'Assumptions-Hotel'!$J8</f>
        <v>0.85</v>
      </c>
      <c r="E24" s="211">
        <f>'Assumptions-Hotel'!$J8</f>
        <v>0.85</v>
      </c>
      <c r="F24" s="211">
        <f>'Assumptions-Hotel'!$J8</f>
        <v>0.85</v>
      </c>
      <c r="G24" s="211">
        <f>'Assumptions-Hotel'!$J8</f>
        <v>0.85</v>
      </c>
      <c r="H24" s="211">
        <f>'Assumptions-Hotel'!$J8</f>
        <v>0.85</v>
      </c>
      <c r="I24" s="211">
        <f>'Assumptions-Hotel'!$J8</f>
        <v>0.85</v>
      </c>
      <c r="J24" s="211">
        <f>'Assumptions-Hotel'!$J8</f>
        <v>0.85</v>
      </c>
      <c r="K24" s="211">
        <f>'Assumptions-Hotel'!$J8</f>
        <v>0.85</v>
      </c>
      <c r="L24" s="211">
        <f>'Assumptions-Hotel'!$J8</f>
        <v>0.85</v>
      </c>
      <c r="M24" s="211">
        <f>'Assumptions-Hotel'!$J8</f>
        <v>0.85</v>
      </c>
      <c r="N24" s="259">
        <f>'Assumptions-Hotel'!$J8</f>
        <v>0.85</v>
      </c>
    </row>
    <row r="25" spans="2:14" x14ac:dyDescent="0.2">
      <c r="B25" s="246" t="str">
        <f>B22</f>
        <v>Boutique Hotel</v>
      </c>
      <c r="C25" s="12"/>
      <c r="D25" s="211">
        <f>'Assumptions-Hotel'!$J9</f>
        <v>0.85</v>
      </c>
      <c r="E25" s="211">
        <f>'Assumptions-Hotel'!$J9</f>
        <v>0.85</v>
      </c>
      <c r="F25" s="211">
        <f>'Assumptions-Hotel'!$J9</f>
        <v>0.85</v>
      </c>
      <c r="G25" s="211">
        <f>'Assumptions-Hotel'!$J9</f>
        <v>0.85</v>
      </c>
      <c r="H25" s="211">
        <f>'Assumptions-Hotel'!$J9</f>
        <v>0.85</v>
      </c>
      <c r="I25" s="211">
        <f>'Assumptions-Hotel'!$J9</f>
        <v>0.85</v>
      </c>
      <c r="J25" s="211">
        <f>'Assumptions-Hotel'!$J9</f>
        <v>0.85</v>
      </c>
      <c r="K25" s="211">
        <f>'Assumptions-Hotel'!$J9</f>
        <v>0.85</v>
      </c>
      <c r="L25" s="211">
        <f>'Assumptions-Hotel'!$J9</f>
        <v>0.85</v>
      </c>
      <c r="M25" s="211">
        <f>'Assumptions-Hotel'!$J9</f>
        <v>0.85</v>
      </c>
      <c r="N25" s="259">
        <f>'Assumptions-Hotel'!$J9</f>
        <v>0.85</v>
      </c>
    </row>
    <row r="26" spans="2:14" x14ac:dyDescent="0.2">
      <c r="B26" s="4" t="s">
        <v>350</v>
      </c>
      <c r="C26" s="12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</row>
    <row r="27" spans="2:14" x14ac:dyDescent="0.2">
      <c r="B27" s="246" t="str">
        <f>B24</f>
        <v>Lifestyle Hotel</v>
      </c>
      <c r="C27" s="12"/>
      <c r="D27" s="257">
        <f>D21*D24</f>
        <v>233.75</v>
      </c>
      <c r="E27" s="257">
        <f>E21*E24</f>
        <v>233.75</v>
      </c>
      <c r="F27" s="257">
        <f t="shared" ref="F27:N27" si="12">F21*F24</f>
        <v>233.75</v>
      </c>
      <c r="G27" s="257">
        <f t="shared" si="12"/>
        <v>233.75</v>
      </c>
      <c r="H27" s="257">
        <f t="shared" si="12"/>
        <v>233.75</v>
      </c>
      <c r="I27" s="257">
        <f t="shared" si="12"/>
        <v>233.75</v>
      </c>
      <c r="J27" s="257">
        <f t="shared" si="12"/>
        <v>233.75</v>
      </c>
      <c r="K27" s="257">
        <f t="shared" si="12"/>
        <v>233.75</v>
      </c>
      <c r="L27" s="257">
        <f t="shared" si="12"/>
        <v>233.75</v>
      </c>
      <c r="M27" s="257">
        <f t="shared" si="12"/>
        <v>233.75</v>
      </c>
      <c r="N27" s="258">
        <f t="shared" si="12"/>
        <v>233.75</v>
      </c>
    </row>
    <row r="28" spans="2:14" x14ac:dyDescent="0.2">
      <c r="B28" s="246" t="str">
        <f>B25</f>
        <v>Boutique Hotel</v>
      </c>
      <c r="C28" s="12"/>
      <c r="D28" s="257">
        <f>D22*D25</f>
        <v>199.75</v>
      </c>
      <c r="E28" s="257">
        <f>E22*E25</f>
        <v>199.75</v>
      </c>
      <c r="F28" s="257">
        <f t="shared" ref="F28:N28" si="13">F22*F25</f>
        <v>199.75</v>
      </c>
      <c r="G28" s="257">
        <f t="shared" si="13"/>
        <v>199.75</v>
      </c>
      <c r="H28" s="257">
        <f t="shared" si="13"/>
        <v>199.75</v>
      </c>
      <c r="I28" s="257">
        <f t="shared" si="13"/>
        <v>199.75</v>
      </c>
      <c r="J28" s="257">
        <f t="shared" si="13"/>
        <v>199.75</v>
      </c>
      <c r="K28" s="257">
        <f t="shared" si="13"/>
        <v>199.75</v>
      </c>
      <c r="L28" s="257">
        <f t="shared" si="13"/>
        <v>199.75</v>
      </c>
      <c r="M28" s="257">
        <f t="shared" si="13"/>
        <v>199.75</v>
      </c>
      <c r="N28" s="258">
        <f t="shared" si="13"/>
        <v>199.75</v>
      </c>
    </row>
    <row r="29" spans="2:14" x14ac:dyDescent="0.2">
      <c r="B29" s="4"/>
      <c r="C29" s="12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5"/>
    </row>
    <row r="30" spans="2:14" x14ac:dyDescent="0.2">
      <c r="B30" s="53" t="s">
        <v>307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2:14" x14ac:dyDescent="0.2">
      <c r="B31" s="4" t="s">
        <v>344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2:14" x14ac:dyDescent="0.2">
      <c r="B32" s="246" t="str">
        <f>B16</f>
        <v>Lifestyle Hotel</v>
      </c>
      <c r="C32" s="12"/>
      <c r="D32" s="242">
        <f>D16*D21*D$9</f>
        <v>0</v>
      </c>
      <c r="E32" s="242">
        <f t="shared" ref="E32:N32" si="14">E16*E21*E$9</f>
        <v>0</v>
      </c>
      <c r="F32" s="242">
        <f t="shared" si="14"/>
        <v>0</v>
      </c>
      <c r="G32" s="242">
        <f t="shared" si="14"/>
        <v>0</v>
      </c>
      <c r="H32" s="242">
        <f t="shared" si="14"/>
        <v>0</v>
      </c>
      <c r="I32" s="242">
        <f t="shared" si="14"/>
        <v>0</v>
      </c>
      <c r="J32" s="242">
        <f t="shared" si="14"/>
        <v>0</v>
      </c>
      <c r="K32" s="242">
        <f t="shared" si="14"/>
        <v>0</v>
      </c>
      <c r="L32" s="242">
        <f t="shared" si="14"/>
        <v>0</v>
      </c>
      <c r="M32" s="242">
        <f t="shared" si="14"/>
        <v>0</v>
      </c>
      <c r="N32" s="247">
        <f t="shared" si="14"/>
        <v>0</v>
      </c>
    </row>
    <row r="33" spans="2:14" x14ac:dyDescent="0.2">
      <c r="B33" s="246" t="str">
        <f>B17</f>
        <v>Boutique Hotel</v>
      </c>
      <c r="C33" s="12"/>
      <c r="D33" s="240">
        <f t="shared" ref="D33:N33" si="15">D17*D22*D$9</f>
        <v>0</v>
      </c>
      <c r="E33" s="240">
        <f t="shared" si="15"/>
        <v>0</v>
      </c>
      <c r="F33" s="240">
        <f t="shared" si="15"/>
        <v>0</v>
      </c>
      <c r="G33" s="240">
        <f t="shared" si="15"/>
        <v>0</v>
      </c>
      <c r="H33" s="240">
        <f t="shared" si="15"/>
        <v>0</v>
      </c>
      <c r="I33" s="240">
        <f t="shared" si="15"/>
        <v>0</v>
      </c>
      <c r="J33" s="240">
        <f t="shared" si="15"/>
        <v>0</v>
      </c>
      <c r="K33" s="240">
        <f t="shared" si="15"/>
        <v>0</v>
      </c>
      <c r="L33" s="240">
        <f t="shared" si="15"/>
        <v>0</v>
      </c>
      <c r="M33" s="240">
        <f t="shared" si="15"/>
        <v>0</v>
      </c>
      <c r="N33" s="248">
        <f t="shared" si="15"/>
        <v>0</v>
      </c>
    </row>
    <row r="34" spans="2:14" x14ac:dyDescent="0.2">
      <c r="B34" s="4" t="s">
        <v>346</v>
      </c>
      <c r="C34" s="12"/>
      <c r="D34" s="242">
        <f t="shared" ref="D34:N34" si="16">SUM(D32:D33)</f>
        <v>0</v>
      </c>
      <c r="E34" s="242">
        <f t="shared" si="16"/>
        <v>0</v>
      </c>
      <c r="F34" s="242">
        <f t="shared" si="16"/>
        <v>0</v>
      </c>
      <c r="G34" s="242">
        <f t="shared" si="16"/>
        <v>0</v>
      </c>
      <c r="H34" s="242">
        <f t="shared" si="16"/>
        <v>0</v>
      </c>
      <c r="I34" s="242">
        <f t="shared" si="16"/>
        <v>0</v>
      </c>
      <c r="J34" s="242">
        <f t="shared" si="16"/>
        <v>0</v>
      </c>
      <c r="K34" s="242">
        <f t="shared" si="16"/>
        <v>0</v>
      </c>
      <c r="L34" s="242">
        <f t="shared" si="16"/>
        <v>0</v>
      </c>
      <c r="M34" s="242">
        <f t="shared" si="16"/>
        <v>0</v>
      </c>
      <c r="N34" s="247">
        <f t="shared" si="16"/>
        <v>0</v>
      </c>
    </row>
    <row r="35" spans="2:14" x14ac:dyDescent="0.2">
      <c r="B35" s="4"/>
      <c r="C35" s="1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7"/>
    </row>
    <row r="36" spans="2:14" x14ac:dyDescent="0.2">
      <c r="B36" s="4" t="s">
        <v>352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2:14" x14ac:dyDescent="0.2">
      <c r="B37" s="246" t="str">
        <f>B32</f>
        <v>Lifestyle Hotel</v>
      </c>
      <c r="C37" s="12"/>
      <c r="D37" s="242">
        <f>D32*'Assumptions-Hotel'!$N$8</f>
        <v>0</v>
      </c>
      <c r="E37" s="242">
        <f>E32*'Assumptions-Hotel'!$N$8</f>
        <v>0</v>
      </c>
      <c r="F37" s="242">
        <f>F32*'Assumptions-Hotel'!$N$8</f>
        <v>0</v>
      </c>
      <c r="G37" s="242">
        <f>G32*'Assumptions-Hotel'!$N$8</f>
        <v>0</v>
      </c>
      <c r="H37" s="242">
        <f>H32*'Assumptions-Hotel'!$N$8</f>
        <v>0</v>
      </c>
      <c r="I37" s="242">
        <f>I32*'Assumptions-Hotel'!$N$8</f>
        <v>0</v>
      </c>
      <c r="J37" s="242">
        <f>J32*'Assumptions-Hotel'!$N$8</f>
        <v>0</v>
      </c>
      <c r="K37" s="242">
        <f>K32*'Assumptions-Hotel'!$N$8</f>
        <v>0</v>
      </c>
      <c r="L37" s="242">
        <f>L32*'Assumptions-Hotel'!$N$8</f>
        <v>0</v>
      </c>
      <c r="M37" s="242">
        <f>M32*'Assumptions-Hotel'!$N$8</f>
        <v>0</v>
      </c>
      <c r="N37" s="247">
        <f>N32*'Assumptions-Hotel'!$N$8</f>
        <v>0</v>
      </c>
    </row>
    <row r="38" spans="2:14" x14ac:dyDescent="0.2">
      <c r="B38" s="246" t="str">
        <f>B33</f>
        <v>Boutique Hotel</v>
      </c>
      <c r="C38" s="12"/>
      <c r="D38" s="240">
        <f>D33*'Assumptions-Hotel'!$N$8</f>
        <v>0</v>
      </c>
      <c r="E38" s="240">
        <f>E33*'Assumptions-Hotel'!$N$8</f>
        <v>0</v>
      </c>
      <c r="F38" s="240">
        <f>F33*'Assumptions-Hotel'!$N$8</f>
        <v>0</v>
      </c>
      <c r="G38" s="240">
        <f>G33*'Assumptions-Hotel'!$N$8</f>
        <v>0</v>
      </c>
      <c r="H38" s="240">
        <f>H33*'Assumptions-Hotel'!$N$8</f>
        <v>0</v>
      </c>
      <c r="I38" s="240">
        <f>I33*'Assumptions-Hotel'!$N$8</f>
        <v>0</v>
      </c>
      <c r="J38" s="240">
        <f>J33*'Assumptions-Hotel'!$N$8</f>
        <v>0</v>
      </c>
      <c r="K38" s="240">
        <f>K33*'Assumptions-Hotel'!$N$8</f>
        <v>0</v>
      </c>
      <c r="L38" s="240">
        <f>L33*'Assumptions-Hotel'!$N$8</f>
        <v>0</v>
      </c>
      <c r="M38" s="240">
        <f>M33*'Assumptions-Hotel'!$N$8</f>
        <v>0</v>
      </c>
      <c r="N38" s="248">
        <f>N33*'Assumptions-Hotel'!$N$8</f>
        <v>0</v>
      </c>
    </row>
    <row r="39" spans="2:14" x14ac:dyDescent="0.2">
      <c r="B39" s="4" t="s">
        <v>353</v>
      </c>
      <c r="C39" s="12"/>
      <c r="D39" s="242">
        <f t="shared" ref="D39:N39" si="17">SUM(D37:D38)</f>
        <v>0</v>
      </c>
      <c r="E39" s="242">
        <f t="shared" si="17"/>
        <v>0</v>
      </c>
      <c r="F39" s="242">
        <f t="shared" si="17"/>
        <v>0</v>
      </c>
      <c r="G39" s="242">
        <f t="shared" si="17"/>
        <v>0</v>
      </c>
      <c r="H39" s="242">
        <f t="shared" si="17"/>
        <v>0</v>
      </c>
      <c r="I39" s="242">
        <f t="shared" si="17"/>
        <v>0</v>
      </c>
      <c r="J39" s="242">
        <f t="shared" si="17"/>
        <v>0</v>
      </c>
      <c r="K39" s="242">
        <f t="shared" si="17"/>
        <v>0</v>
      </c>
      <c r="L39" s="242">
        <f t="shared" si="17"/>
        <v>0</v>
      </c>
      <c r="M39" s="242">
        <f t="shared" si="17"/>
        <v>0</v>
      </c>
      <c r="N39" s="247">
        <f t="shared" si="17"/>
        <v>0</v>
      </c>
    </row>
    <row r="40" spans="2:14" x14ac:dyDescent="0.2">
      <c r="B40" s="4"/>
      <c r="C40" s="1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7"/>
    </row>
    <row r="41" spans="2:14" x14ac:dyDescent="0.2">
      <c r="B41" s="4" t="s">
        <v>354</v>
      </c>
      <c r="C41" s="1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7"/>
    </row>
    <row r="42" spans="2:14" x14ac:dyDescent="0.2">
      <c r="B42" s="246" t="str">
        <f>B37</f>
        <v>Lifestyle Hotel</v>
      </c>
      <c r="C42" s="12"/>
      <c r="D42" s="242">
        <f>D32*'Assumptions-Hotel'!$N$9</f>
        <v>0</v>
      </c>
      <c r="E42" s="242">
        <f>E32*'Assumptions-Hotel'!$N$9</f>
        <v>0</v>
      </c>
      <c r="F42" s="242">
        <f>F32*'Assumptions-Hotel'!$N$9</f>
        <v>0</v>
      </c>
      <c r="G42" s="242">
        <f>G32*'Assumptions-Hotel'!$N$9</f>
        <v>0</v>
      </c>
      <c r="H42" s="242">
        <f>H32*'Assumptions-Hotel'!$N$9</f>
        <v>0</v>
      </c>
      <c r="I42" s="242">
        <f>I32*'Assumptions-Hotel'!$N$9</f>
        <v>0</v>
      </c>
      <c r="J42" s="242">
        <f>J32*'Assumptions-Hotel'!$N$9</f>
        <v>0</v>
      </c>
      <c r="K42" s="242">
        <f>K32*'Assumptions-Hotel'!$N$9</f>
        <v>0</v>
      </c>
      <c r="L42" s="242">
        <f>L32*'Assumptions-Hotel'!$N$9</f>
        <v>0</v>
      </c>
      <c r="M42" s="242">
        <f>M32*'Assumptions-Hotel'!$N$9</f>
        <v>0</v>
      </c>
      <c r="N42" s="247">
        <f>N32*'Assumptions-Hotel'!$N$9</f>
        <v>0</v>
      </c>
    </row>
    <row r="43" spans="2:14" x14ac:dyDescent="0.2">
      <c r="B43" s="246" t="str">
        <f>B38</f>
        <v>Boutique Hotel</v>
      </c>
      <c r="C43" s="12"/>
      <c r="D43" s="240">
        <f>D33*'Assumptions-Hotel'!$N$9</f>
        <v>0</v>
      </c>
      <c r="E43" s="240">
        <f>E33*'Assumptions-Hotel'!$N$9</f>
        <v>0</v>
      </c>
      <c r="F43" s="240">
        <f>F33*'Assumptions-Hotel'!$N$9</f>
        <v>0</v>
      </c>
      <c r="G43" s="240">
        <f>G33*'Assumptions-Hotel'!$N$9</f>
        <v>0</v>
      </c>
      <c r="H43" s="240">
        <f>H33*'Assumptions-Hotel'!$N$9</f>
        <v>0</v>
      </c>
      <c r="I43" s="240">
        <f>I33*'Assumptions-Hotel'!$N$9</f>
        <v>0</v>
      </c>
      <c r="J43" s="240">
        <f>J33*'Assumptions-Hotel'!$N$9</f>
        <v>0</v>
      </c>
      <c r="K43" s="240">
        <f>K33*'Assumptions-Hotel'!$N$9</f>
        <v>0</v>
      </c>
      <c r="L43" s="240">
        <f>L33*'Assumptions-Hotel'!$N$9</f>
        <v>0</v>
      </c>
      <c r="M43" s="240">
        <f>M33*'Assumptions-Hotel'!$N$9</f>
        <v>0</v>
      </c>
      <c r="N43" s="248">
        <f>N33*'Assumptions-Hotel'!$N$9</f>
        <v>0</v>
      </c>
    </row>
    <row r="44" spans="2:14" x14ac:dyDescent="0.2">
      <c r="B44" s="4" t="s">
        <v>358</v>
      </c>
      <c r="C44" s="12"/>
      <c r="D44" s="242">
        <f t="shared" ref="D44:N44" si="18">SUM(D42:D43)</f>
        <v>0</v>
      </c>
      <c r="E44" s="242">
        <f t="shared" si="18"/>
        <v>0</v>
      </c>
      <c r="F44" s="242">
        <f t="shared" si="18"/>
        <v>0</v>
      </c>
      <c r="G44" s="242">
        <f t="shared" si="18"/>
        <v>0</v>
      </c>
      <c r="H44" s="242">
        <f t="shared" si="18"/>
        <v>0</v>
      </c>
      <c r="I44" s="242">
        <f t="shared" si="18"/>
        <v>0</v>
      </c>
      <c r="J44" s="242">
        <f t="shared" si="18"/>
        <v>0</v>
      </c>
      <c r="K44" s="242">
        <f t="shared" si="18"/>
        <v>0</v>
      </c>
      <c r="L44" s="242">
        <f t="shared" si="18"/>
        <v>0</v>
      </c>
      <c r="M44" s="242">
        <f t="shared" si="18"/>
        <v>0</v>
      </c>
      <c r="N44" s="247">
        <f t="shared" si="18"/>
        <v>0</v>
      </c>
    </row>
    <row r="45" spans="2:14" x14ac:dyDescent="0.2">
      <c r="B45" s="4"/>
      <c r="C45" s="12"/>
      <c r="D45" s="242"/>
      <c r="E45" s="242"/>
      <c r="F45" s="242"/>
      <c r="G45" s="242"/>
      <c r="H45" s="211"/>
      <c r="I45" s="242"/>
      <c r="J45" s="242"/>
      <c r="K45" s="242"/>
      <c r="L45" s="242"/>
      <c r="M45" s="242"/>
      <c r="N45" s="247"/>
    </row>
    <row r="46" spans="2:14" x14ac:dyDescent="0.2">
      <c r="B46" s="4" t="s">
        <v>355</v>
      </c>
      <c r="C46" s="12"/>
      <c r="D46" s="241">
        <f t="shared" ref="D46:N46" si="19">D34+D39+D44</f>
        <v>0</v>
      </c>
      <c r="E46" s="241">
        <f t="shared" si="19"/>
        <v>0</v>
      </c>
      <c r="F46" s="241">
        <f t="shared" si="19"/>
        <v>0</v>
      </c>
      <c r="G46" s="241">
        <f t="shared" si="19"/>
        <v>0</v>
      </c>
      <c r="H46" s="241">
        <f t="shared" si="19"/>
        <v>0</v>
      </c>
      <c r="I46" s="241">
        <f t="shared" si="19"/>
        <v>0</v>
      </c>
      <c r="J46" s="241">
        <f t="shared" si="19"/>
        <v>0</v>
      </c>
      <c r="K46" s="241">
        <f t="shared" si="19"/>
        <v>0</v>
      </c>
      <c r="L46" s="241">
        <f t="shared" si="19"/>
        <v>0</v>
      </c>
      <c r="M46" s="241">
        <f t="shared" si="19"/>
        <v>0</v>
      </c>
      <c r="N46" s="249">
        <f t="shared" si="19"/>
        <v>0</v>
      </c>
    </row>
    <row r="47" spans="2:14" x14ac:dyDescent="0.2">
      <c r="B47" s="4"/>
      <c r="C47" s="1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7"/>
    </row>
    <row r="48" spans="2:14" x14ac:dyDescent="0.2">
      <c r="B48" s="4" t="s">
        <v>207</v>
      </c>
      <c r="C48" s="1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7"/>
    </row>
    <row r="49" spans="2:14" x14ac:dyDescent="0.2">
      <c r="B49" s="246" t="s">
        <v>357</v>
      </c>
      <c r="C49" s="12"/>
      <c r="D49" s="242">
        <f>-SUM(D16:D17)*'Assumptions-Hotel'!$N$16*(1+'Assumptions-Overall'!$C$39)^('CashFlow-Hotel'!D$7-1)</f>
        <v>0</v>
      </c>
      <c r="E49" s="242">
        <f>-SUM(E16:E17)*'Assumptions-Hotel'!$N$16*(1+'Assumptions-Overall'!$C$39)^('CashFlow-Hotel'!E$7-1)</f>
        <v>0</v>
      </c>
      <c r="F49" s="242">
        <f>-SUM(F16:F17)*'Assumptions-Hotel'!$N$16*(1+'Assumptions-Overall'!$C$39)^('CashFlow-Hotel'!F$7-1)</f>
        <v>0</v>
      </c>
      <c r="G49" s="242">
        <f>-SUM(G16:G17)*'Assumptions-Hotel'!$N$16*(1+'Assumptions-Overall'!$C$39)^('CashFlow-Hotel'!G$7-1)</f>
        <v>0</v>
      </c>
      <c r="H49" s="242">
        <f>-SUM(H16:H17)*'Assumptions-Hotel'!$N$16*(1+'Assumptions-Overall'!$C$39)^('CashFlow-Hotel'!H$7-1)</f>
        <v>0</v>
      </c>
      <c r="I49" s="242">
        <f>-SUM(I16:I17)*'Assumptions-Hotel'!$N$16*(1+'Assumptions-Overall'!$C$39)^('CashFlow-Hotel'!I$7-1)</f>
        <v>0</v>
      </c>
      <c r="J49" s="242">
        <f>-SUM(J16:J17)*'Assumptions-Hotel'!$N$16*(1+'Assumptions-Overall'!$C$39)^('CashFlow-Hotel'!J$7-1)</f>
        <v>0</v>
      </c>
      <c r="K49" s="242">
        <f>-SUM(K16:K17)*'Assumptions-Hotel'!$N$16*(1+'Assumptions-Overall'!$C$39)^('CashFlow-Hotel'!K$7-1)</f>
        <v>0</v>
      </c>
      <c r="L49" s="242">
        <f>-SUM(L16:L17)*'Assumptions-Hotel'!$N$16*(1+'Assumptions-Overall'!$C$39)^('CashFlow-Hotel'!L$7-1)</f>
        <v>0</v>
      </c>
      <c r="M49" s="242">
        <f>-SUM(M16:M17)*'Assumptions-Hotel'!$N$16*(1+'Assumptions-Overall'!$C$39)^('CashFlow-Hotel'!M$7-1)</f>
        <v>0</v>
      </c>
      <c r="N49" s="247">
        <f>-SUM(N16:N17)*'Assumptions-Hotel'!$N$16*(1+'Assumptions-Overall'!$C$39)^('CashFlow-Hotel'!N$7-1)</f>
        <v>0</v>
      </c>
    </row>
    <row r="50" spans="2:14" x14ac:dyDescent="0.2">
      <c r="B50" s="246" t="s">
        <v>356</v>
      </c>
      <c r="C50" s="12"/>
      <c r="D50" s="242">
        <f>-D39*(1-'Assumptions-Hotel'!$N$8)</f>
        <v>0</v>
      </c>
      <c r="E50" s="242">
        <f>-E39*(1-'Assumptions-Hotel'!$N$8)</f>
        <v>0</v>
      </c>
      <c r="F50" s="242">
        <f>-F39*(1-'Assumptions-Hotel'!$N$8)</f>
        <v>0</v>
      </c>
      <c r="G50" s="242">
        <f>-G39*(1-'Assumptions-Hotel'!$N$8)</f>
        <v>0</v>
      </c>
      <c r="H50" s="242">
        <f>-H39*(1-'Assumptions-Hotel'!$N$8)</f>
        <v>0</v>
      </c>
      <c r="I50" s="242">
        <f>-I39*(1-'Assumptions-Hotel'!$N$8)</f>
        <v>0</v>
      </c>
      <c r="J50" s="242">
        <f>-J39*(1-'Assumptions-Hotel'!$N$8)</f>
        <v>0</v>
      </c>
      <c r="K50" s="242">
        <f>-K39*(1-'Assumptions-Hotel'!$N$8)</f>
        <v>0</v>
      </c>
      <c r="L50" s="242">
        <f>-L39*(1-'Assumptions-Hotel'!$N$8)</f>
        <v>0</v>
      </c>
      <c r="M50" s="242">
        <f>-M39*(1-'Assumptions-Hotel'!$N$8)</f>
        <v>0</v>
      </c>
      <c r="N50" s="247">
        <f>-N39*(1-'Assumptions-Hotel'!$N$8)</f>
        <v>0</v>
      </c>
    </row>
    <row r="51" spans="2:14" x14ac:dyDescent="0.2">
      <c r="B51" s="246" t="s">
        <v>354</v>
      </c>
      <c r="C51" s="12"/>
      <c r="D51" s="240">
        <f>-D44*(1-'Assumptions-Hotel'!$N$9)</f>
        <v>0</v>
      </c>
      <c r="E51" s="240">
        <f>-E44*(1-'Assumptions-Hotel'!$N$9)</f>
        <v>0</v>
      </c>
      <c r="F51" s="240">
        <f>-F44*(1-'Assumptions-Hotel'!$N$9)</f>
        <v>0</v>
      </c>
      <c r="G51" s="240">
        <f>-G44*(1-'Assumptions-Hotel'!$N$9)</f>
        <v>0</v>
      </c>
      <c r="H51" s="240">
        <f>-H44*(1-'Assumptions-Hotel'!$N$9)</f>
        <v>0</v>
      </c>
      <c r="I51" s="240">
        <f>-I44*(1-'Assumptions-Hotel'!$N$9)</f>
        <v>0</v>
      </c>
      <c r="J51" s="240">
        <f>-J44*(1-'Assumptions-Hotel'!$N$9)</f>
        <v>0</v>
      </c>
      <c r="K51" s="240">
        <f>-K44*(1-'Assumptions-Hotel'!$N$9)</f>
        <v>0</v>
      </c>
      <c r="L51" s="240">
        <f>-L44*(1-'Assumptions-Hotel'!$N$9)</f>
        <v>0</v>
      </c>
      <c r="M51" s="240">
        <f>-M44*(1-'Assumptions-Hotel'!$N$9)</f>
        <v>0</v>
      </c>
      <c r="N51" s="248">
        <f>-N44*(1-'Assumptions-Hotel'!$N$9)</f>
        <v>0</v>
      </c>
    </row>
    <row r="52" spans="2:14" x14ac:dyDescent="0.2">
      <c r="B52" s="4" t="s">
        <v>308</v>
      </c>
      <c r="C52" s="12"/>
      <c r="D52" s="242">
        <f>SUM(D49:D51)</f>
        <v>0</v>
      </c>
      <c r="E52" s="242">
        <f t="shared" ref="E52" si="20">SUM(E49:E51)</f>
        <v>0</v>
      </c>
      <c r="F52" s="242">
        <f t="shared" ref="F52" si="21">SUM(F49:F51)</f>
        <v>0</v>
      </c>
      <c r="G52" s="242">
        <f t="shared" ref="G52" si="22">SUM(G49:G51)</f>
        <v>0</v>
      </c>
      <c r="H52" s="242">
        <f t="shared" ref="H52" si="23">SUM(H49:H51)</f>
        <v>0</v>
      </c>
      <c r="I52" s="242">
        <f t="shared" ref="I52" si="24">SUM(I49:I51)</f>
        <v>0</v>
      </c>
      <c r="J52" s="242">
        <f t="shared" ref="J52" si="25">SUM(J49:J51)</f>
        <v>0</v>
      </c>
      <c r="K52" s="242">
        <f t="shared" ref="K52" si="26">SUM(K49:K51)</f>
        <v>0</v>
      </c>
      <c r="L52" s="242">
        <f t="shared" ref="L52" si="27">SUM(L49:L51)</f>
        <v>0</v>
      </c>
      <c r="M52" s="242">
        <f t="shared" ref="M52" si="28">SUM(M49:M51)</f>
        <v>0</v>
      </c>
      <c r="N52" s="247">
        <f t="shared" ref="N52" si="29">SUM(N49:N51)</f>
        <v>0</v>
      </c>
    </row>
    <row r="53" spans="2:14" x14ac:dyDescent="0.2">
      <c r="B53" s="4"/>
      <c r="C53" s="1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7"/>
    </row>
    <row r="54" spans="2:14" x14ac:dyDescent="0.2">
      <c r="B54" s="4" t="s">
        <v>283</v>
      </c>
      <c r="C54" s="12"/>
      <c r="D54" s="242">
        <f>-SUM(D16:D17)*'Assumptions-Hotel'!$N$17*(1+'Assumptions-Overall'!$C$40)^('CashFlow-Hotel'!D$7-1)</f>
        <v>0</v>
      </c>
      <c r="E54" s="242">
        <f>-SUM(E16:E17)*'Assumptions-Hotel'!$N$17*(1+'Assumptions-Overall'!$C$40)^('CashFlow-Hotel'!E$7-1)</f>
        <v>0</v>
      </c>
      <c r="F54" s="242">
        <f>-SUM(F16:F17)*'Assumptions-Hotel'!$N$17*(1+'Assumptions-Overall'!$C$40)^('CashFlow-Hotel'!F$7-1)</f>
        <v>0</v>
      </c>
      <c r="G54" s="242">
        <f>-SUM(G16:G17)*'Assumptions-Hotel'!$N$17*(1+'Assumptions-Overall'!$C$40)^('CashFlow-Hotel'!G$7-1)</f>
        <v>0</v>
      </c>
      <c r="H54" s="242">
        <f>-SUM(H16:H17)*'Assumptions-Hotel'!$N$17*(1+'Assumptions-Overall'!$C$40)^('CashFlow-Hotel'!H$7-1)</f>
        <v>0</v>
      </c>
      <c r="I54" s="242">
        <f>-SUM(I16:I17)*'Assumptions-Hotel'!$N$17*(1+'Assumptions-Overall'!$C$40)^('CashFlow-Hotel'!I$7-1)</f>
        <v>0</v>
      </c>
      <c r="J54" s="242">
        <f>-SUM(J16:J17)*'Assumptions-Hotel'!$N$17*(1+'Assumptions-Overall'!$C$40)^('CashFlow-Hotel'!J$7-1)</f>
        <v>0</v>
      </c>
      <c r="K54" s="242">
        <f>-SUM(K16:K17)*'Assumptions-Hotel'!$N$17*(1+'Assumptions-Overall'!$C$40)^('CashFlow-Hotel'!K$7-1)</f>
        <v>0</v>
      </c>
      <c r="L54" s="242">
        <f>-SUM(L16:L17)*'Assumptions-Hotel'!$N$17*(1+'Assumptions-Overall'!$C$40)^('CashFlow-Hotel'!L$7-1)</f>
        <v>0</v>
      </c>
      <c r="M54" s="242">
        <f>-SUM(M16:M17)*'Assumptions-Hotel'!$N$17*(1+'Assumptions-Overall'!$C$40)^('CashFlow-Hotel'!M$7-1)</f>
        <v>0</v>
      </c>
      <c r="N54" s="247">
        <f>-SUM(N16:N17)*'Assumptions-Hotel'!$N$17*(1+'Assumptions-Overall'!$C$40)^('CashFlow-Hotel'!N$7-1)</f>
        <v>0</v>
      </c>
    </row>
    <row r="55" spans="2:14" x14ac:dyDescent="0.2">
      <c r="B55" s="4"/>
      <c r="C55" s="1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7"/>
    </row>
    <row r="56" spans="2:14" x14ac:dyDescent="0.2">
      <c r="B56" s="4" t="s">
        <v>310</v>
      </c>
      <c r="C56" s="12"/>
      <c r="D56" s="241">
        <f>SUM(D46)+D52+D54</f>
        <v>0</v>
      </c>
      <c r="E56" s="241">
        <f t="shared" ref="E56:K56" si="30">SUM(E46)+E52+E54</f>
        <v>0</v>
      </c>
      <c r="F56" s="241">
        <f t="shared" si="30"/>
        <v>0</v>
      </c>
      <c r="G56" s="241">
        <f t="shared" si="30"/>
        <v>0</v>
      </c>
      <c r="H56" s="241">
        <f t="shared" si="30"/>
        <v>0</v>
      </c>
      <c r="I56" s="241">
        <f t="shared" si="30"/>
        <v>0</v>
      </c>
      <c r="J56" s="241">
        <f t="shared" si="30"/>
        <v>0</v>
      </c>
      <c r="K56" s="241">
        <f t="shared" si="30"/>
        <v>0</v>
      </c>
      <c r="L56" s="241">
        <f>SUM(L46)+L52+L54</f>
        <v>0</v>
      </c>
      <c r="M56" s="241">
        <f t="shared" ref="M56:N56" si="31">SUM(M46)+M52+M54</f>
        <v>0</v>
      </c>
      <c r="N56" s="249">
        <f t="shared" si="31"/>
        <v>0</v>
      </c>
    </row>
    <row r="57" spans="2:14" x14ac:dyDescent="0.2">
      <c r="B57" s="4"/>
      <c r="C57" s="1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55"/>
    </row>
    <row r="58" spans="2:14" x14ac:dyDescent="0.2">
      <c r="B58" s="4" t="s">
        <v>309</v>
      </c>
      <c r="C58" s="12"/>
      <c r="D58" s="241">
        <f t="shared" ref="D58:M58" si="32">SUM(D56:D57)</f>
        <v>0</v>
      </c>
      <c r="E58" s="241">
        <f t="shared" si="32"/>
        <v>0</v>
      </c>
      <c r="F58" s="241">
        <f t="shared" si="32"/>
        <v>0</v>
      </c>
      <c r="G58" s="241">
        <f t="shared" si="32"/>
        <v>0</v>
      </c>
      <c r="H58" s="241">
        <f t="shared" si="32"/>
        <v>0</v>
      </c>
      <c r="I58" s="241">
        <f t="shared" si="32"/>
        <v>0</v>
      </c>
      <c r="J58" s="241">
        <f t="shared" si="32"/>
        <v>0</v>
      </c>
      <c r="K58" s="241">
        <f t="shared" si="32"/>
        <v>0</v>
      </c>
      <c r="L58" s="241">
        <f t="shared" si="32"/>
        <v>0</v>
      </c>
      <c r="M58" s="241">
        <f t="shared" si="32"/>
        <v>0</v>
      </c>
      <c r="N58" s="247"/>
    </row>
    <row r="59" spans="2:14" x14ac:dyDescent="0.2">
      <c r="B59" s="4"/>
      <c r="C59" s="1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7"/>
    </row>
    <row r="60" spans="2:14" x14ac:dyDescent="0.2">
      <c r="B60" s="53" t="s">
        <v>209</v>
      </c>
      <c r="C60" s="1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7"/>
    </row>
    <row r="61" spans="2:14" x14ac:dyDescent="0.2">
      <c r="B61" s="4" t="s">
        <v>311</v>
      </c>
      <c r="C61" s="12"/>
      <c r="D61" s="242">
        <f>-(AND(D$8&gt;=YEAR(PhaseIConBegin),D$8&lt;=YEAR(PhaseIConEnd)))*SUM($D13:$N13)*SUM('Assumptions-Overall'!$M$28:$M$29)*(1+'Assumptions-Overall'!$C$41)^('CashFlow-Hotel'!D$7-1)/(YEAR(PhaseIConEnd)-YEAR(PhaseIConBegin)+1)</f>
        <v>0</v>
      </c>
      <c r="E61" s="242">
        <f>-(AND(E$8&gt;=YEAR(PhaseIConBegin),E$8&lt;=YEAR(PhaseIConEnd)))*SUM($D13:$N13)*SUM('Assumptions-Overall'!$M$28:$M$29)*(1+'Assumptions-Overall'!$C$41)^('CashFlow-Hotel'!E$7-1)/(YEAR(PhaseIConEnd)-YEAR(PhaseIConBegin)+1)</f>
        <v>0</v>
      </c>
      <c r="F61" s="242">
        <f>-(AND(F$8&gt;=YEAR(PhaseIConBegin),F$8&lt;=YEAR(PhaseIConEnd)))*SUM($D13:$N13)*SUM('Assumptions-Overall'!$M$28:$M$29)*(1+'Assumptions-Overall'!$C$41)^('CashFlow-Hotel'!F$7-1)/(YEAR(PhaseIConEnd)-YEAR(PhaseIConBegin)+1)</f>
        <v>0</v>
      </c>
      <c r="G61" s="242">
        <f>-(AND(G$8&gt;=YEAR(PhaseIConBegin),G$8&lt;=YEAR(PhaseIConEnd)))*SUM($D13:$N13)*SUM('Assumptions-Overall'!$M$28:$M$29)*(1+'Assumptions-Overall'!$C$41)^('CashFlow-Hotel'!G$7-1)/(YEAR(PhaseIConEnd)-YEAR(PhaseIConBegin)+1)</f>
        <v>0</v>
      </c>
      <c r="H61" s="242">
        <f>-(AND(H$8&gt;=YEAR(PhaseIConBegin),H$8&lt;=YEAR(PhaseIConEnd)))*SUM($D13:$N13)*SUM('Assumptions-Overall'!$M$28:$M$29)*(1+'Assumptions-Overall'!$C$41)^('CashFlow-Hotel'!H$7-1)/(YEAR(PhaseIConEnd)-YEAR(PhaseIConBegin)+1)</f>
        <v>0</v>
      </c>
      <c r="I61" s="242">
        <f>-(AND(I$8&gt;=YEAR(PhaseIConBegin),I$8&lt;=YEAR(PhaseIConEnd)))*SUM($D13:$N13)*SUM('Assumptions-Overall'!$M$28:$M$29)*(1+'Assumptions-Overall'!$C$41)^('CashFlow-Hotel'!I$7-1)/(YEAR(PhaseIConEnd)-YEAR(PhaseIConBegin)+1)</f>
        <v>0</v>
      </c>
      <c r="J61" s="242">
        <f>-(AND(J$8&gt;=YEAR(PhaseIConBegin),J$8&lt;=YEAR(PhaseIConEnd)))*SUM($D13:$N13)*SUM('Assumptions-Overall'!$M$28:$M$29)*(1+'Assumptions-Overall'!$C$41)^('CashFlow-Hotel'!J$7-1)/(YEAR(PhaseIConEnd)-YEAR(PhaseIConBegin)+1)</f>
        <v>0</v>
      </c>
      <c r="K61" s="242">
        <f>-(AND(K$8&gt;=YEAR(PhaseIConBegin),K$8&lt;=YEAR(PhaseIConEnd)))*SUM($D13:$N13)*SUM('Assumptions-Overall'!$M$28:$M$29)*(1+'Assumptions-Overall'!$C$41)^('CashFlow-Hotel'!K$7-1)/(YEAR(PhaseIConEnd)-YEAR(PhaseIConBegin)+1)</f>
        <v>0</v>
      </c>
      <c r="L61" s="242">
        <f>-(AND(L$8&gt;=YEAR(PhaseIConBegin),L$8&lt;=YEAR(PhaseIConEnd)))*SUM($D13:$N13)*SUM('Assumptions-Overall'!$M$28:$M$29)*(1+'Assumptions-Overall'!$C$41)^('CashFlow-Hotel'!L$7-1)/(YEAR(PhaseIConEnd)-YEAR(PhaseIConBegin)+1)</f>
        <v>0</v>
      </c>
      <c r="M61" s="242">
        <f>-(AND(M$8&gt;=YEAR(PhaseIConBegin),M$8&lt;=YEAR(PhaseIConEnd)))*SUM($D13:$N13)*SUM('Assumptions-Overall'!$M$28:$M$29)*(1+'Assumptions-Overall'!$C$41)^('CashFlow-Hotel'!M$7-1)/(YEAR(PhaseIConEnd)-YEAR(PhaseIConBegin)+1)</f>
        <v>0</v>
      </c>
      <c r="N61" s="247"/>
    </row>
    <row r="62" spans="2:14" x14ac:dyDescent="0.2">
      <c r="B62" s="4" t="s">
        <v>312</v>
      </c>
      <c r="C62" s="12"/>
      <c r="D62" s="242">
        <f>(AND(D$8&gt;=YEAR(PhaseIPreconBegin),D$8&lt;=YEAR(PhaseIConEnd)))*SUM($D61:$N61)*'Assumptions-Overall'!$H$43/(YEAR(PhaseIConEnd)-YEAR(PhaseIPreconBegin)+1)</f>
        <v>0</v>
      </c>
      <c r="E62" s="242">
        <f>(AND(E$8&gt;=YEAR(PhaseIPreconBegin),E$8&lt;=YEAR(PhaseIConEnd)))*SUM($D61:$N61)*'Assumptions-Overall'!$H$43/(YEAR(PhaseIConEnd)-YEAR(PhaseIPreconBegin)+1)</f>
        <v>0</v>
      </c>
      <c r="F62" s="242">
        <f>(AND(F$8&gt;=YEAR(PhaseIPreconBegin),F$8&lt;=YEAR(PhaseIConEnd)))*SUM($D61:$N61)*'Assumptions-Overall'!$H$43/(YEAR(PhaseIConEnd)-YEAR(PhaseIPreconBegin)+1)</f>
        <v>0</v>
      </c>
      <c r="G62" s="242">
        <f>(AND(G$8&gt;=YEAR(PhaseIPreconBegin),G$8&lt;=YEAR(PhaseIConEnd)))*SUM($D61:$N61)*'Assumptions-Overall'!$H$43/(YEAR(PhaseIConEnd)-YEAR(PhaseIPreconBegin)+1)</f>
        <v>0</v>
      </c>
      <c r="H62" s="242">
        <f>(AND(H$8&gt;=YEAR(PhaseIPreconBegin),H$8&lt;=YEAR(PhaseIConEnd)))*SUM($D61:$N61)*'Assumptions-Overall'!$H$43/(YEAR(PhaseIConEnd)-YEAR(PhaseIPreconBegin)+1)</f>
        <v>0</v>
      </c>
      <c r="I62" s="242">
        <f>(AND(I$8&gt;=YEAR(PhaseIPreconBegin),I$8&lt;=YEAR(PhaseIConEnd)))*SUM($D61:$N61)*'Assumptions-Overall'!$H$43/(YEAR(PhaseIConEnd)-YEAR(PhaseIPreconBegin)+1)</f>
        <v>0</v>
      </c>
      <c r="J62" s="242">
        <f>(AND(J$8&gt;=YEAR(PhaseIPreconBegin),J$8&lt;=YEAR(PhaseIConEnd)))*SUM($D61:$N61)*'Assumptions-Overall'!$H$43/(YEAR(PhaseIConEnd)-YEAR(PhaseIPreconBegin)+1)</f>
        <v>0</v>
      </c>
      <c r="K62" s="242">
        <f>(AND(K$8&gt;=YEAR(PhaseIPreconBegin),K$8&lt;=YEAR(PhaseIConEnd)))*SUM($D61:$N61)*'Assumptions-Overall'!$H$43/(YEAR(PhaseIConEnd)-YEAR(PhaseIPreconBegin)+1)</f>
        <v>0</v>
      </c>
      <c r="L62" s="242">
        <f>(AND(L$8&gt;=YEAR(PhaseIPreconBegin),L$8&lt;=YEAR(PhaseIConEnd)))*SUM($D61:$N61)*'Assumptions-Overall'!$H$43/(YEAR(PhaseIConEnd)-YEAR(PhaseIPreconBegin)+1)</f>
        <v>0</v>
      </c>
      <c r="M62" s="242">
        <f>(AND(M$8&gt;=YEAR(PhaseIPreconBegin),M$8&lt;=YEAR(PhaseIConEnd)))*SUM($D61:$N61)*'Assumptions-Overall'!$H$43/(YEAR(PhaseIConEnd)-YEAR(PhaseIPreconBegin)+1)</f>
        <v>0</v>
      </c>
      <c r="N62" s="247"/>
    </row>
    <row r="63" spans="2:14" x14ac:dyDescent="0.2">
      <c r="B63" s="4" t="s">
        <v>183</v>
      </c>
      <c r="C63" s="12"/>
      <c r="D63" s="242">
        <f>(AND(D$8&gt;=YEAR(PhaseIPreconBegin),D$8&lt;=YEAR(PhaseIConEnd)))*SUM($D61:$N61)*'Assumptions-Overall'!$H$44/(YEAR(PhaseIConEnd)-YEAR(PhaseIPreconBegin)+1)</f>
        <v>0</v>
      </c>
      <c r="E63" s="242">
        <f>(AND(E$8&gt;=YEAR(PhaseIPreconBegin),E$8&lt;=YEAR(PhaseIConEnd)))*SUM($D61:$N61)*'Assumptions-Overall'!$H$44/(YEAR(PhaseIConEnd)-YEAR(PhaseIPreconBegin)+1)</f>
        <v>0</v>
      </c>
      <c r="F63" s="242">
        <f>(AND(F$8&gt;=YEAR(PhaseIPreconBegin),F$8&lt;=YEAR(PhaseIConEnd)))*SUM($D61:$N61)*'Assumptions-Overall'!$H$44/(YEAR(PhaseIConEnd)-YEAR(PhaseIPreconBegin)+1)</f>
        <v>0</v>
      </c>
      <c r="G63" s="242">
        <f>(AND(G$8&gt;=YEAR(PhaseIPreconBegin),G$8&lt;=YEAR(PhaseIConEnd)))*SUM($D61:$N61)*'Assumptions-Overall'!$H$44/(YEAR(PhaseIConEnd)-YEAR(PhaseIPreconBegin)+1)</f>
        <v>0</v>
      </c>
      <c r="H63" s="242">
        <f>(AND(H$8&gt;=YEAR(PhaseIPreconBegin),H$8&lt;=YEAR(PhaseIConEnd)))*SUM($D61:$N61)*'Assumptions-Overall'!$H$44/(YEAR(PhaseIConEnd)-YEAR(PhaseIPreconBegin)+1)</f>
        <v>0</v>
      </c>
      <c r="I63" s="242">
        <f>(AND(I$8&gt;=YEAR(PhaseIPreconBegin),I$8&lt;=YEAR(PhaseIConEnd)))*SUM($D61:$N61)*'Assumptions-Overall'!$H$44/(YEAR(PhaseIConEnd)-YEAR(PhaseIPreconBegin)+1)</f>
        <v>0</v>
      </c>
      <c r="J63" s="242">
        <f>(AND(J$8&gt;=YEAR(PhaseIPreconBegin),J$8&lt;=YEAR(PhaseIConEnd)))*SUM($D61:$N61)*'Assumptions-Overall'!$H$44/(YEAR(PhaseIConEnd)-YEAR(PhaseIPreconBegin)+1)</f>
        <v>0</v>
      </c>
      <c r="K63" s="242">
        <f>(AND(K$8&gt;=YEAR(PhaseIPreconBegin),K$8&lt;=YEAR(PhaseIConEnd)))*SUM($D61:$N61)*'Assumptions-Overall'!$H$44/(YEAR(PhaseIConEnd)-YEAR(PhaseIPreconBegin)+1)</f>
        <v>0</v>
      </c>
      <c r="L63" s="242">
        <f>(AND(L$8&gt;=YEAR(PhaseIPreconBegin),L$8&lt;=YEAR(PhaseIConEnd)))*SUM($D61:$N61)*'Assumptions-Overall'!$H$44/(YEAR(PhaseIConEnd)-YEAR(PhaseIPreconBegin)+1)</f>
        <v>0</v>
      </c>
      <c r="M63" s="242">
        <f>(AND(M$8&gt;=YEAR(PhaseIPreconBegin),M$8&lt;=YEAR(PhaseIConEnd)))*SUM($D61:$N61)*'Assumptions-Overall'!$H$44/(YEAR(PhaseIConEnd)-YEAR(PhaseIPreconBegin)+1)</f>
        <v>0</v>
      </c>
      <c r="N63" s="247"/>
    </row>
    <row r="64" spans="2:14" x14ac:dyDescent="0.2">
      <c r="B64" s="4" t="s">
        <v>184</v>
      </c>
      <c r="C64" s="12"/>
      <c r="D64" s="240">
        <f>SUM(D61:D63)*'Assumptions-Overall'!$H$45</f>
        <v>0</v>
      </c>
      <c r="E64" s="240">
        <f>SUM(E61:E63)*'Assumptions-Overall'!$H$45</f>
        <v>0</v>
      </c>
      <c r="F64" s="240">
        <f>SUM(F61:F63)*'Assumptions-Overall'!$H$45</f>
        <v>0</v>
      </c>
      <c r="G64" s="240">
        <f>SUM(G61:G63)*'Assumptions-Overall'!$H$45</f>
        <v>0</v>
      </c>
      <c r="H64" s="240">
        <f>SUM(H61:H63)*'Assumptions-Overall'!$H$45</f>
        <v>0</v>
      </c>
      <c r="I64" s="240">
        <f>SUM(I61:I63)*'Assumptions-Overall'!$H$45</f>
        <v>0</v>
      </c>
      <c r="J64" s="240">
        <f>SUM(J61:J63)*'Assumptions-Overall'!$H$45</f>
        <v>0</v>
      </c>
      <c r="K64" s="240">
        <f>SUM(K61:K63)*'Assumptions-Overall'!$H$45</f>
        <v>0</v>
      </c>
      <c r="L64" s="240">
        <f>SUM(L61:L63)*'Assumptions-Overall'!$H$45</f>
        <v>0</v>
      </c>
      <c r="M64" s="240">
        <f>SUM(M61:M63)*'Assumptions-Overall'!$H$45</f>
        <v>0</v>
      </c>
      <c r="N64" s="247"/>
    </row>
    <row r="65" spans="2:14" x14ac:dyDescent="0.2">
      <c r="B65" s="4" t="s">
        <v>313</v>
      </c>
      <c r="C65" s="12"/>
      <c r="D65" s="242">
        <f>SUM(D61:D64)</f>
        <v>0</v>
      </c>
      <c r="E65" s="242">
        <f t="shared" ref="E65" si="33">SUM(E61:E64)</f>
        <v>0</v>
      </c>
      <c r="F65" s="242">
        <f t="shared" ref="F65" si="34">SUM(F61:F64)</f>
        <v>0</v>
      </c>
      <c r="G65" s="242">
        <f t="shared" ref="G65" si="35">SUM(G61:G64)</f>
        <v>0</v>
      </c>
      <c r="H65" s="242">
        <f t="shared" ref="H65" si="36">SUM(H61:H64)</f>
        <v>0</v>
      </c>
      <c r="I65" s="242">
        <f t="shared" ref="I65" si="37">SUM(I61:I64)</f>
        <v>0</v>
      </c>
      <c r="J65" s="242">
        <f t="shared" ref="J65" si="38">SUM(J61:J64)</f>
        <v>0</v>
      </c>
      <c r="K65" s="242">
        <f t="shared" ref="K65" si="39">SUM(K61:K64)</f>
        <v>0</v>
      </c>
      <c r="L65" s="242">
        <f t="shared" ref="L65" si="40">SUM(L61:L64)</f>
        <v>0</v>
      </c>
      <c r="M65" s="242">
        <f t="shared" ref="M65" si="41">SUM(M61:M64)</f>
        <v>0</v>
      </c>
      <c r="N65" s="247"/>
    </row>
    <row r="66" spans="2:14" x14ac:dyDescent="0.2">
      <c r="B66" s="4"/>
      <c r="C66" s="1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7"/>
    </row>
    <row r="67" spans="2:14" x14ac:dyDescent="0.2">
      <c r="B67" s="53" t="s">
        <v>314</v>
      </c>
      <c r="C67" s="1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7"/>
    </row>
    <row r="68" spans="2:14" x14ac:dyDescent="0.2">
      <c r="B68" s="4" t="s">
        <v>316</v>
      </c>
      <c r="C68" s="12"/>
      <c r="D68" s="242">
        <f>(D$8=YEAR('Assumptions-Overall'!$C$30))*E56/'Assumptions-Overall'!$Y$22</f>
        <v>0</v>
      </c>
      <c r="E68" s="242">
        <f>(E$8=YEAR('Assumptions-Overall'!$C$30))*F56/'Assumptions-Overall'!$Y$22</f>
        <v>0</v>
      </c>
      <c r="F68" s="242">
        <f>(F$8=YEAR('Assumptions-Overall'!$C$30))*G56/'Assumptions-Overall'!$Y$22</f>
        <v>0</v>
      </c>
      <c r="G68" s="242">
        <f>(G$8=YEAR('Assumptions-Overall'!$C$30))*H56/'Assumptions-Overall'!$Y$22</f>
        <v>0</v>
      </c>
      <c r="H68" s="242">
        <f>(H$8=YEAR('Assumptions-Overall'!$C$30))*I56/'Assumptions-Overall'!$Y$22</f>
        <v>0</v>
      </c>
      <c r="I68" s="242">
        <f>(I$8=YEAR('Assumptions-Overall'!$C$30))*J56/'Assumptions-Overall'!$Y$22</f>
        <v>0</v>
      </c>
      <c r="J68" s="242">
        <f>(J$8=YEAR('Assumptions-Overall'!$C$30))*K56/'Assumptions-Overall'!$Y$22</f>
        <v>0</v>
      </c>
      <c r="K68" s="242">
        <f>(K$8=YEAR('Assumptions-Overall'!$C$30))*L56/'Assumptions-Overall'!$Y$22</f>
        <v>0</v>
      </c>
      <c r="L68" s="242">
        <f>(L$8=YEAR('Assumptions-Overall'!$C$30))*M56/'Assumptions-Overall'!$Y$22</f>
        <v>0</v>
      </c>
      <c r="M68" s="242">
        <f>(M$8=YEAR('Assumptions-Overall'!$C$30))*N56/'Assumptions-Overall'!$Y$22</f>
        <v>0</v>
      </c>
      <c r="N68" s="247"/>
    </row>
    <row r="69" spans="2:14" x14ac:dyDescent="0.2">
      <c r="B69" s="4" t="s">
        <v>317</v>
      </c>
      <c r="C69" s="12"/>
      <c r="D69" s="240">
        <f>-D68*'Assumptions-Overall'!$U$27</f>
        <v>0</v>
      </c>
      <c r="E69" s="240">
        <f>-E68*'Assumptions-Overall'!$U$27</f>
        <v>0</v>
      </c>
      <c r="F69" s="240">
        <f>-F68*'Assumptions-Overall'!$U$27</f>
        <v>0</v>
      </c>
      <c r="G69" s="240">
        <f>-G68*'Assumptions-Overall'!$U$27</f>
        <v>0</v>
      </c>
      <c r="H69" s="240">
        <f>-H68*'Assumptions-Overall'!$U$27</f>
        <v>0</v>
      </c>
      <c r="I69" s="240">
        <f>-I68*'Assumptions-Overall'!$U$27</f>
        <v>0</v>
      </c>
      <c r="J69" s="240">
        <f>-J68*'Assumptions-Overall'!$U$27</f>
        <v>0</v>
      </c>
      <c r="K69" s="240">
        <f>-K68*'Assumptions-Overall'!$U$27</f>
        <v>0</v>
      </c>
      <c r="L69" s="240">
        <f>-L68*'Assumptions-Overall'!$U$27</f>
        <v>0</v>
      </c>
      <c r="M69" s="240">
        <f>-M68*'Assumptions-Overall'!$U$27</f>
        <v>0</v>
      </c>
      <c r="N69" s="247"/>
    </row>
    <row r="70" spans="2:14" x14ac:dyDescent="0.2">
      <c r="B70" s="4" t="s">
        <v>318</v>
      </c>
      <c r="C70" s="12"/>
      <c r="D70" s="242">
        <f>SUM(D68:D69)</f>
        <v>0</v>
      </c>
      <c r="E70" s="242">
        <f t="shared" ref="E70" si="42">SUM(E68:E69)</f>
        <v>0</v>
      </c>
      <c r="F70" s="242">
        <f t="shared" ref="F70" si="43">SUM(F68:F69)</f>
        <v>0</v>
      </c>
      <c r="G70" s="242">
        <f t="shared" ref="G70" si="44">SUM(G68:G69)</f>
        <v>0</v>
      </c>
      <c r="H70" s="242">
        <f t="shared" ref="H70" si="45">SUM(H68:H69)</f>
        <v>0</v>
      </c>
      <c r="I70" s="242">
        <f t="shared" ref="I70" si="46">SUM(I68:I69)</f>
        <v>0</v>
      </c>
      <c r="J70" s="242">
        <f t="shared" ref="J70" si="47">SUM(J68:J69)</f>
        <v>0</v>
      </c>
      <c r="K70" s="242">
        <f t="shared" ref="K70" si="48">SUM(K68:K69)</f>
        <v>0</v>
      </c>
      <c r="L70" s="242">
        <f t="shared" ref="L70" si="49">SUM(L68:L69)</f>
        <v>0</v>
      </c>
      <c r="M70" s="242">
        <f t="shared" ref="M70" si="50">SUM(M68:M69)</f>
        <v>0</v>
      </c>
      <c r="N70" s="247"/>
    </row>
    <row r="71" spans="2:14" x14ac:dyDescent="0.2">
      <c r="B71" s="4"/>
      <c r="C71" s="1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7"/>
    </row>
    <row r="72" spans="2:14" x14ac:dyDescent="0.2">
      <c r="B72" s="4" t="s">
        <v>315</v>
      </c>
      <c r="C72" s="12"/>
      <c r="D72" s="242">
        <f t="shared" ref="D72:M72" si="51">D58+D65+D70</f>
        <v>0</v>
      </c>
      <c r="E72" s="242">
        <f t="shared" si="51"/>
        <v>0</v>
      </c>
      <c r="F72" s="242">
        <f t="shared" si="51"/>
        <v>0</v>
      </c>
      <c r="G72" s="242">
        <f t="shared" si="51"/>
        <v>0</v>
      </c>
      <c r="H72" s="242">
        <f t="shared" si="51"/>
        <v>0</v>
      </c>
      <c r="I72" s="242">
        <f t="shared" si="51"/>
        <v>0</v>
      </c>
      <c r="J72" s="242">
        <f t="shared" si="51"/>
        <v>0</v>
      </c>
      <c r="K72" s="242">
        <f t="shared" si="51"/>
        <v>0</v>
      </c>
      <c r="L72" s="242">
        <f t="shared" si="51"/>
        <v>0</v>
      </c>
      <c r="M72" s="242">
        <f t="shared" si="51"/>
        <v>0</v>
      </c>
      <c r="N72" s="247"/>
    </row>
    <row r="73" spans="2:14" x14ac:dyDescent="0.2">
      <c r="B73" s="4" t="s">
        <v>320</v>
      </c>
      <c r="C73" s="254" t="str">
        <f>IFERROR(IRR(D72:M72),"n/a")</f>
        <v>n/a</v>
      </c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7"/>
    </row>
    <row r="74" spans="2:14" ht="12.75" thickBot="1" x14ac:dyDescent="0.25">
      <c r="B74" s="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</row>
    <row r="75" spans="2:14" x14ac:dyDescent="0.2">
      <c r="B75" s="250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2"/>
    </row>
    <row r="76" spans="2:14" x14ac:dyDescent="0.2">
      <c r="B76" s="243" t="s">
        <v>297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</row>
    <row r="77" spans="2:14" x14ac:dyDescent="0.2">
      <c r="B77" s="4" t="s">
        <v>293</v>
      </c>
      <c r="C77" s="12"/>
      <c r="D77" s="244">
        <f>(D$8&gt;=YEAR(PhaseIIComplete))*SUMIF(BuildingSummary!$R$18:$T$18,"II",BuildingSummary!$R$23:$T$23)</f>
        <v>0</v>
      </c>
      <c r="E77" s="244">
        <f>(E$8&gt;=YEAR(PhaseIIComplete))*SUMIF(BuildingSummary!$R$18:$T$18,"II",BuildingSummary!$R$23:$T$23)</f>
        <v>0</v>
      </c>
      <c r="F77" s="244">
        <f>(F$8&gt;=YEAR(PhaseIIComplete))*SUMIF(BuildingSummary!$R$18:$T$18,"II",BuildingSummary!$R$23:$T$23)</f>
        <v>0</v>
      </c>
      <c r="G77" s="244">
        <f>(G$8&gt;=YEAR(PhaseIIComplete))*SUMIF(BuildingSummary!$R$18:$T$18,"II",BuildingSummary!$R$23:$T$23)</f>
        <v>0</v>
      </c>
      <c r="H77" s="244">
        <f>(H$8&gt;=YEAR(PhaseIIComplete))*SUMIF(BuildingSummary!$R$18:$T$18,"II",BuildingSummary!$R$23:$T$23)</f>
        <v>0</v>
      </c>
      <c r="I77" s="244">
        <f>(I$8&gt;=YEAR(PhaseIIComplete))*SUMIF(BuildingSummary!$R$18:$T$18,"II",BuildingSummary!$R$23:$T$23)</f>
        <v>0</v>
      </c>
      <c r="J77" s="244">
        <f>(J$8&gt;=YEAR(PhaseIIComplete))*SUMIF(BuildingSummary!$R$18:$T$18,"II",BuildingSummary!$R$23:$T$23)</f>
        <v>0</v>
      </c>
      <c r="K77" s="244">
        <f>(K$8&gt;=YEAR(PhaseIIComplete))*SUMIF(BuildingSummary!$R$18:$T$18,"II",BuildingSummary!$R$23:$T$23)</f>
        <v>0</v>
      </c>
      <c r="L77" s="244">
        <f>(L$8&gt;=YEAR(PhaseIIComplete))*SUMIF(BuildingSummary!$R$18:$T$18,"II",BuildingSummary!$R$23:$T$23)</f>
        <v>0</v>
      </c>
      <c r="M77" s="244">
        <f>(M$8&gt;=YEAR(PhaseIIComplete))*SUMIF(BuildingSummary!$R$18:$T$18,"II",BuildingSummary!$R$23:$T$23)</f>
        <v>0</v>
      </c>
      <c r="N77" s="245">
        <f>(N$8&gt;=YEAR(PhaseIIComplete))*SUMIF(BuildingSummary!$R$18:$T$18,"II",BuildingSummary!$R$23:$T$23)</f>
        <v>0</v>
      </c>
    </row>
    <row r="78" spans="2:14" x14ac:dyDescent="0.2">
      <c r="B78" s="4" t="s">
        <v>294</v>
      </c>
      <c r="C78" s="12"/>
      <c r="D78" s="244">
        <f>D77-C77</f>
        <v>0</v>
      </c>
      <c r="E78" s="244">
        <f t="shared" ref="E78" si="52">E77-D77</f>
        <v>0</v>
      </c>
      <c r="F78" s="244">
        <f t="shared" ref="F78" si="53">F77-E77</f>
        <v>0</v>
      </c>
      <c r="G78" s="244">
        <f t="shared" ref="G78" si="54">G77-F77</f>
        <v>0</v>
      </c>
      <c r="H78" s="244">
        <f t="shared" ref="H78" si="55">H77-G77</f>
        <v>0</v>
      </c>
      <c r="I78" s="244">
        <f t="shared" ref="I78" si="56">I77-H77</f>
        <v>0</v>
      </c>
      <c r="J78" s="244">
        <f t="shared" ref="J78" si="57">J77-I77</f>
        <v>0</v>
      </c>
      <c r="K78" s="244">
        <f t="shared" ref="K78" si="58">K77-J77</f>
        <v>0</v>
      </c>
      <c r="L78" s="244">
        <f t="shared" ref="L78" si="59">L77-K77</f>
        <v>0</v>
      </c>
      <c r="M78" s="244">
        <f t="shared" ref="M78" si="60">M77-L77</f>
        <v>0</v>
      </c>
      <c r="N78" s="245">
        <f t="shared" ref="N78" si="61">N77-M77</f>
        <v>0</v>
      </c>
    </row>
    <row r="79" spans="2:14" x14ac:dyDescent="0.2">
      <c r="B79" s="4"/>
      <c r="C79" s="12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5"/>
    </row>
    <row r="80" spans="2:14" x14ac:dyDescent="0.2">
      <c r="B80" s="53" t="s">
        <v>343</v>
      </c>
      <c r="C80" s="12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5"/>
    </row>
    <row r="81" spans="2:14" x14ac:dyDescent="0.2">
      <c r="B81" s="4" t="str">
        <f>B36</f>
        <v>Food &amp; Beverage Revenue</v>
      </c>
      <c r="C81" s="12"/>
      <c r="D81" s="244">
        <f>(D$8&gt;=YEAR(PhaseIIComplete))*'Assumptions-Hotel'!$E9</f>
        <v>0</v>
      </c>
      <c r="E81" s="244">
        <f>(E$8&gt;=YEAR(PhaseIIComplete))*'Assumptions-Hotel'!$E9</f>
        <v>0</v>
      </c>
      <c r="F81" s="244">
        <f>(F$8&gt;=YEAR(PhaseIIComplete))*'Assumptions-Hotel'!$E9</f>
        <v>0</v>
      </c>
      <c r="G81" s="244">
        <f>(G$8&gt;=YEAR(PhaseIIComplete))*'Assumptions-Hotel'!$E9</f>
        <v>0</v>
      </c>
      <c r="H81" s="244">
        <f>(H$8&gt;=YEAR(PhaseIIComplete))*'Assumptions-Hotel'!$E9</f>
        <v>0</v>
      </c>
      <c r="I81" s="244">
        <f>(I$8&gt;=YEAR(PhaseIIComplete))*'Assumptions-Hotel'!$E9</f>
        <v>0</v>
      </c>
      <c r="J81" s="244">
        <f>(J$8&gt;=YEAR(PhaseIIComplete))*'Assumptions-Hotel'!$E9</f>
        <v>0</v>
      </c>
      <c r="K81" s="244">
        <f>(K$8&gt;=YEAR(PhaseIIComplete))*'Assumptions-Hotel'!$E9</f>
        <v>0</v>
      </c>
      <c r="L81" s="244">
        <f>(L$8&gt;=YEAR(PhaseIIComplete))*'Assumptions-Hotel'!$E9</f>
        <v>0</v>
      </c>
      <c r="M81" s="244">
        <f>(M$8&gt;=YEAR(PhaseIIComplete))*'Assumptions-Hotel'!$E9</f>
        <v>0</v>
      </c>
      <c r="N81" s="245">
        <f>(N$8&gt;=YEAR(PhaseIIComplete))*'Assumptions-Hotel'!$E9</f>
        <v>0</v>
      </c>
    </row>
    <row r="82" spans="2:14" x14ac:dyDescent="0.2">
      <c r="B82" s="4" t="str">
        <f>B37</f>
        <v>Lifestyle Hotel</v>
      </c>
      <c r="C82" s="12"/>
      <c r="D82" s="244">
        <f>(D$8&gt;=YEAR(PhaseIIComplete))*'Assumptions-Hotel'!$E10</f>
        <v>0</v>
      </c>
      <c r="E82" s="244">
        <f>(E$8&gt;=YEAR(PhaseIIComplete))*'Assumptions-Hotel'!$E10</f>
        <v>0</v>
      </c>
      <c r="F82" s="244">
        <f>(F$8&gt;=YEAR(PhaseIIComplete))*'Assumptions-Hotel'!$E10</f>
        <v>0</v>
      </c>
      <c r="G82" s="244">
        <f>(G$8&gt;=YEAR(PhaseIIComplete))*'Assumptions-Hotel'!$E10</f>
        <v>0</v>
      </c>
      <c r="H82" s="244">
        <f>(H$8&gt;=YEAR(PhaseIIComplete))*'Assumptions-Hotel'!$E10</f>
        <v>0</v>
      </c>
      <c r="I82" s="244">
        <f>(I$8&gt;=YEAR(PhaseIIComplete))*'Assumptions-Hotel'!$E10</f>
        <v>0</v>
      </c>
      <c r="J82" s="244">
        <f>(J$8&gt;=YEAR(PhaseIIComplete))*'Assumptions-Hotel'!$E10</f>
        <v>0</v>
      </c>
      <c r="K82" s="244">
        <f>(K$8&gt;=YEAR(PhaseIIComplete))*'Assumptions-Hotel'!$E10</f>
        <v>0</v>
      </c>
      <c r="L82" s="244">
        <f>(L$8&gt;=YEAR(PhaseIIComplete))*'Assumptions-Hotel'!$E10</f>
        <v>0</v>
      </c>
      <c r="M82" s="244">
        <f>(M$8&gt;=YEAR(PhaseIIComplete))*'Assumptions-Hotel'!$E10</f>
        <v>0</v>
      </c>
      <c r="N82" s="245">
        <f>(N$8&gt;=YEAR(PhaseIIComplete))*'Assumptions-Hotel'!$E10</f>
        <v>0</v>
      </c>
    </row>
    <row r="83" spans="2:14" x14ac:dyDescent="0.2">
      <c r="B83" s="4"/>
      <c r="C83" s="12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5"/>
    </row>
    <row r="84" spans="2:14" x14ac:dyDescent="0.2">
      <c r="B84" s="53" t="s">
        <v>347</v>
      </c>
      <c r="C84" s="12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5"/>
    </row>
    <row r="85" spans="2:14" x14ac:dyDescent="0.2">
      <c r="B85" s="4" t="s">
        <v>348</v>
      </c>
      <c r="C85" s="12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5"/>
    </row>
    <row r="86" spans="2:14" x14ac:dyDescent="0.2">
      <c r="B86" s="246" t="str">
        <f>B81</f>
        <v>Food &amp; Beverage Revenue</v>
      </c>
      <c r="C86" s="12"/>
      <c r="D86" s="257">
        <f>'Assumptions-Hotel'!$I8</f>
        <v>275</v>
      </c>
      <c r="E86" s="257">
        <f>'Assumptions-Hotel'!$I8</f>
        <v>275</v>
      </c>
      <c r="F86" s="257">
        <f>'Assumptions-Hotel'!$I8</f>
        <v>275</v>
      </c>
      <c r="G86" s="257">
        <f>'Assumptions-Hotel'!$I8</f>
        <v>275</v>
      </c>
      <c r="H86" s="257">
        <f>'Assumptions-Hotel'!$I8</f>
        <v>275</v>
      </c>
      <c r="I86" s="257">
        <f>'Assumptions-Hotel'!$I8</f>
        <v>275</v>
      </c>
      <c r="J86" s="257">
        <f>'Assumptions-Hotel'!$I8</f>
        <v>275</v>
      </c>
      <c r="K86" s="257">
        <f>'Assumptions-Hotel'!$I8</f>
        <v>275</v>
      </c>
      <c r="L86" s="257">
        <f>'Assumptions-Hotel'!$I8</f>
        <v>275</v>
      </c>
      <c r="M86" s="257">
        <f>'Assumptions-Hotel'!$I8</f>
        <v>275</v>
      </c>
      <c r="N86" s="258">
        <f>'Assumptions-Hotel'!$I8</f>
        <v>275</v>
      </c>
    </row>
    <row r="87" spans="2:14" x14ac:dyDescent="0.2">
      <c r="B87" s="246" t="str">
        <f>B82</f>
        <v>Lifestyle Hotel</v>
      </c>
      <c r="C87" s="12"/>
      <c r="D87" s="257">
        <f>'Assumptions-Hotel'!$I9</f>
        <v>235</v>
      </c>
      <c r="E87" s="257">
        <f>'Assumptions-Hotel'!$I9</f>
        <v>235</v>
      </c>
      <c r="F87" s="257">
        <f>'Assumptions-Hotel'!$I9</f>
        <v>235</v>
      </c>
      <c r="G87" s="257">
        <f>'Assumptions-Hotel'!$I9</f>
        <v>235</v>
      </c>
      <c r="H87" s="257">
        <f>'Assumptions-Hotel'!$I9</f>
        <v>235</v>
      </c>
      <c r="I87" s="257">
        <f>'Assumptions-Hotel'!$I9</f>
        <v>235</v>
      </c>
      <c r="J87" s="257">
        <f>'Assumptions-Hotel'!$I9</f>
        <v>235</v>
      </c>
      <c r="K87" s="257">
        <f>'Assumptions-Hotel'!$I9</f>
        <v>235</v>
      </c>
      <c r="L87" s="257">
        <f>'Assumptions-Hotel'!$I9</f>
        <v>235</v>
      </c>
      <c r="M87" s="257">
        <f>'Assumptions-Hotel'!$I9</f>
        <v>235</v>
      </c>
      <c r="N87" s="258">
        <f>'Assumptions-Hotel'!$I9</f>
        <v>235</v>
      </c>
    </row>
    <row r="88" spans="2:14" x14ac:dyDescent="0.2">
      <c r="B88" s="4" t="s">
        <v>349</v>
      </c>
      <c r="C88" s="12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5"/>
    </row>
    <row r="89" spans="2:14" x14ac:dyDescent="0.2">
      <c r="B89" s="246" t="str">
        <f>B86</f>
        <v>Food &amp; Beverage Revenue</v>
      </c>
      <c r="C89" s="12"/>
      <c r="D89" s="211">
        <f>'Assumptions-Hotel'!$J8</f>
        <v>0.85</v>
      </c>
      <c r="E89" s="211">
        <f>'Assumptions-Hotel'!$J8</f>
        <v>0.85</v>
      </c>
      <c r="F89" s="211">
        <f>'Assumptions-Hotel'!$J8</f>
        <v>0.85</v>
      </c>
      <c r="G89" s="211">
        <f>'Assumptions-Hotel'!$J8</f>
        <v>0.85</v>
      </c>
      <c r="H89" s="211">
        <f>'Assumptions-Hotel'!$J8</f>
        <v>0.85</v>
      </c>
      <c r="I89" s="211">
        <f>'Assumptions-Hotel'!$J8</f>
        <v>0.85</v>
      </c>
      <c r="J89" s="211">
        <f>'Assumptions-Hotel'!$J8</f>
        <v>0.85</v>
      </c>
      <c r="K89" s="211">
        <f>'Assumptions-Hotel'!$J8</f>
        <v>0.85</v>
      </c>
      <c r="L89" s="211">
        <f>'Assumptions-Hotel'!$J8</f>
        <v>0.85</v>
      </c>
      <c r="M89" s="211">
        <f>'Assumptions-Hotel'!$J8</f>
        <v>0.85</v>
      </c>
      <c r="N89" s="259">
        <f>'Assumptions-Hotel'!$J8</f>
        <v>0.85</v>
      </c>
    </row>
    <row r="90" spans="2:14" x14ac:dyDescent="0.2">
      <c r="B90" s="246" t="str">
        <f>B87</f>
        <v>Lifestyle Hotel</v>
      </c>
      <c r="C90" s="12"/>
      <c r="D90" s="211">
        <f>'Assumptions-Hotel'!$J9</f>
        <v>0.85</v>
      </c>
      <c r="E90" s="211">
        <f>'Assumptions-Hotel'!$J9</f>
        <v>0.85</v>
      </c>
      <c r="F90" s="211">
        <f>'Assumptions-Hotel'!$J9</f>
        <v>0.85</v>
      </c>
      <c r="G90" s="211">
        <f>'Assumptions-Hotel'!$J9</f>
        <v>0.85</v>
      </c>
      <c r="H90" s="211">
        <f>'Assumptions-Hotel'!$J9</f>
        <v>0.85</v>
      </c>
      <c r="I90" s="211">
        <f>'Assumptions-Hotel'!$J9</f>
        <v>0.85</v>
      </c>
      <c r="J90" s="211">
        <f>'Assumptions-Hotel'!$J9</f>
        <v>0.85</v>
      </c>
      <c r="K90" s="211">
        <f>'Assumptions-Hotel'!$J9</f>
        <v>0.85</v>
      </c>
      <c r="L90" s="211">
        <f>'Assumptions-Hotel'!$J9</f>
        <v>0.85</v>
      </c>
      <c r="M90" s="211">
        <f>'Assumptions-Hotel'!$J9</f>
        <v>0.85</v>
      </c>
      <c r="N90" s="259">
        <f>'Assumptions-Hotel'!$J9</f>
        <v>0.85</v>
      </c>
    </row>
    <row r="91" spans="2:14" x14ac:dyDescent="0.2">
      <c r="B91" s="4" t="s">
        <v>350</v>
      </c>
      <c r="C91" s="12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5"/>
    </row>
    <row r="92" spans="2:14" x14ac:dyDescent="0.2">
      <c r="B92" s="246" t="str">
        <f>B89</f>
        <v>Food &amp; Beverage Revenue</v>
      </c>
      <c r="C92" s="12"/>
      <c r="D92" s="257">
        <f>D86*D89</f>
        <v>233.75</v>
      </c>
      <c r="E92" s="257">
        <f>E86*E89</f>
        <v>233.75</v>
      </c>
      <c r="F92" s="257">
        <f t="shared" ref="F92:N92" si="62">F86*F89</f>
        <v>233.75</v>
      </c>
      <c r="G92" s="257">
        <f t="shared" si="62"/>
        <v>233.75</v>
      </c>
      <c r="H92" s="257">
        <f t="shared" si="62"/>
        <v>233.75</v>
      </c>
      <c r="I92" s="257">
        <f t="shared" si="62"/>
        <v>233.75</v>
      </c>
      <c r="J92" s="257">
        <f t="shared" si="62"/>
        <v>233.75</v>
      </c>
      <c r="K92" s="257">
        <f t="shared" si="62"/>
        <v>233.75</v>
      </c>
      <c r="L92" s="257">
        <f t="shared" si="62"/>
        <v>233.75</v>
      </c>
      <c r="M92" s="257">
        <f t="shared" si="62"/>
        <v>233.75</v>
      </c>
      <c r="N92" s="258">
        <f t="shared" si="62"/>
        <v>233.75</v>
      </c>
    </row>
    <row r="93" spans="2:14" x14ac:dyDescent="0.2">
      <c r="B93" s="246" t="str">
        <f>B90</f>
        <v>Lifestyle Hotel</v>
      </c>
      <c r="C93" s="12"/>
      <c r="D93" s="257">
        <f>D87*D90</f>
        <v>199.75</v>
      </c>
      <c r="E93" s="257">
        <f>E87*E90</f>
        <v>199.75</v>
      </c>
      <c r="F93" s="257">
        <f t="shared" ref="F93:N93" si="63">F87*F90</f>
        <v>199.75</v>
      </c>
      <c r="G93" s="257">
        <f t="shared" si="63"/>
        <v>199.75</v>
      </c>
      <c r="H93" s="257">
        <f t="shared" si="63"/>
        <v>199.75</v>
      </c>
      <c r="I93" s="257">
        <f t="shared" si="63"/>
        <v>199.75</v>
      </c>
      <c r="J93" s="257">
        <f t="shared" si="63"/>
        <v>199.75</v>
      </c>
      <c r="K93" s="257">
        <f t="shared" si="63"/>
        <v>199.75</v>
      </c>
      <c r="L93" s="257">
        <f t="shared" si="63"/>
        <v>199.75</v>
      </c>
      <c r="M93" s="257">
        <f t="shared" si="63"/>
        <v>199.75</v>
      </c>
      <c r="N93" s="258">
        <f t="shared" si="63"/>
        <v>199.75</v>
      </c>
    </row>
    <row r="94" spans="2:14" x14ac:dyDescent="0.2">
      <c r="B94" s="4"/>
      <c r="C94" s="12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5"/>
    </row>
    <row r="95" spans="2:14" x14ac:dyDescent="0.2">
      <c r="B95" s="53" t="s">
        <v>307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</row>
    <row r="96" spans="2:14" x14ac:dyDescent="0.2">
      <c r="B96" s="4" t="s">
        <v>344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</row>
    <row r="97" spans="2:14" x14ac:dyDescent="0.2">
      <c r="B97" s="246" t="str">
        <f>B81</f>
        <v>Food &amp; Beverage Revenue</v>
      </c>
      <c r="C97" s="12"/>
      <c r="D97" s="242">
        <f>D81*D86*D$9</f>
        <v>0</v>
      </c>
      <c r="E97" s="242">
        <f t="shared" ref="E97:N97" si="64">E81*E86*E$9</f>
        <v>0</v>
      </c>
      <c r="F97" s="242">
        <f t="shared" si="64"/>
        <v>0</v>
      </c>
      <c r="G97" s="242">
        <f t="shared" si="64"/>
        <v>0</v>
      </c>
      <c r="H97" s="242">
        <f t="shared" si="64"/>
        <v>0</v>
      </c>
      <c r="I97" s="242">
        <f t="shared" si="64"/>
        <v>0</v>
      </c>
      <c r="J97" s="242">
        <f t="shared" si="64"/>
        <v>0</v>
      </c>
      <c r="K97" s="242">
        <f t="shared" si="64"/>
        <v>0</v>
      </c>
      <c r="L97" s="242">
        <f t="shared" si="64"/>
        <v>0</v>
      </c>
      <c r="M97" s="242">
        <f t="shared" si="64"/>
        <v>0</v>
      </c>
      <c r="N97" s="247">
        <f t="shared" si="64"/>
        <v>0</v>
      </c>
    </row>
    <row r="98" spans="2:14" x14ac:dyDescent="0.2">
      <c r="B98" s="246" t="str">
        <f>B82</f>
        <v>Lifestyle Hotel</v>
      </c>
      <c r="C98" s="12"/>
      <c r="D98" s="240">
        <f t="shared" ref="D98:N98" si="65">D82*D87*D$9</f>
        <v>0</v>
      </c>
      <c r="E98" s="240">
        <f t="shared" si="65"/>
        <v>0</v>
      </c>
      <c r="F98" s="240">
        <f t="shared" si="65"/>
        <v>0</v>
      </c>
      <c r="G98" s="240">
        <f t="shared" si="65"/>
        <v>0</v>
      </c>
      <c r="H98" s="240">
        <f t="shared" si="65"/>
        <v>0</v>
      </c>
      <c r="I98" s="240">
        <f t="shared" si="65"/>
        <v>0</v>
      </c>
      <c r="J98" s="240">
        <f t="shared" si="65"/>
        <v>0</v>
      </c>
      <c r="K98" s="240">
        <f t="shared" si="65"/>
        <v>0</v>
      </c>
      <c r="L98" s="240">
        <f t="shared" si="65"/>
        <v>0</v>
      </c>
      <c r="M98" s="240">
        <f t="shared" si="65"/>
        <v>0</v>
      </c>
      <c r="N98" s="248">
        <f t="shared" si="65"/>
        <v>0</v>
      </c>
    </row>
    <row r="99" spans="2:14" x14ac:dyDescent="0.2">
      <c r="B99" s="4" t="s">
        <v>346</v>
      </c>
      <c r="C99" s="12"/>
      <c r="D99" s="242">
        <f t="shared" ref="D99:N99" si="66">SUM(D97:D98)</f>
        <v>0</v>
      </c>
      <c r="E99" s="242">
        <f t="shared" si="66"/>
        <v>0</v>
      </c>
      <c r="F99" s="242">
        <f t="shared" si="66"/>
        <v>0</v>
      </c>
      <c r="G99" s="242">
        <f t="shared" si="66"/>
        <v>0</v>
      </c>
      <c r="H99" s="242">
        <f t="shared" si="66"/>
        <v>0</v>
      </c>
      <c r="I99" s="242">
        <f t="shared" si="66"/>
        <v>0</v>
      </c>
      <c r="J99" s="242">
        <f t="shared" si="66"/>
        <v>0</v>
      </c>
      <c r="K99" s="242">
        <f t="shared" si="66"/>
        <v>0</v>
      </c>
      <c r="L99" s="242">
        <f t="shared" si="66"/>
        <v>0</v>
      </c>
      <c r="M99" s="242">
        <f t="shared" si="66"/>
        <v>0</v>
      </c>
      <c r="N99" s="247">
        <f t="shared" si="66"/>
        <v>0</v>
      </c>
    </row>
    <row r="100" spans="2:14" x14ac:dyDescent="0.2">
      <c r="B100" s="4"/>
      <c r="C100" s="1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7"/>
    </row>
    <row r="101" spans="2:14" x14ac:dyDescent="0.2">
      <c r="B101" s="4" t="s">
        <v>352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</row>
    <row r="102" spans="2:14" x14ac:dyDescent="0.2">
      <c r="B102" s="246" t="str">
        <f>B97</f>
        <v>Food &amp; Beverage Revenue</v>
      </c>
      <c r="C102" s="12"/>
      <c r="D102" s="242">
        <f>D97*'Assumptions-Hotel'!$N$8</f>
        <v>0</v>
      </c>
      <c r="E102" s="242">
        <f>E97*'Assumptions-Hotel'!$N$8</f>
        <v>0</v>
      </c>
      <c r="F102" s="242">
        <f>F97*'Assumptions-Hotel'!$N$8</f>
        <v>0</v>
      </c>
      <c r="G102" s="242">
        <f>G97*'Assumptions-Hotel'!$N$8</f>
        <v>0</v>
      </c>
      <c r="H102" s="242">
        <f>H97*'Assumptions-Hotel'!$N$8</f>
        <v>0</v>
      </c>
      <c r="I102" s="242">
        <f>I97*'Assumptions-Hotel'!$N$8</f>
        <v>0</v>
      </c>
      <c r="J102" s="242">
        <f>J97*'Assumptions-Hotel'!$N$8</f>
        <v>0</v>
      </c>
      <c r="K102" s="242">
        <f>K97*'Assumptions-Hotel'!$N$8</f>
        <v>0</v>
      </c>
      <c r="L102" s="242">
        <f>L97*'Assumptions-Hotel'!$N$8</f>
        <v>0</v>
      </c>
      <c r="M102" s="242">
        <f>M97*'Assumptions-Hotel'!$N$8</f>
        <v>0</v>
      </c>
      <c r="N102" s="247">
        <f>N97*'Assumptions-Hotel'!$N$8</f>
        <v>0</v>
      </c>
    </row>
    <row r="103" spans="2:14" x14ac:dyDescent="0.2">
      <c r="B103" s="246" t="str">
        <f>B98</f>
        <v>Lifestyle Hotel</v>
      </c>
      <c r="C103" s="12"/>
      <c r="D103" s="240">
        <f>D98*'Assumptions-Hotel'!$N$8</f>
        <v>0</v>
      </c>
      <c r="E103" s="240">
        <f>E98*'Assumptions-Hotel'!$N$8</f>
        <v>0</v>
      </c>
      <c r="F103" s="240">
        <f>F98*'Assumptions-Hotel'!$N$8</f>
        <v>0</v>
      </c>
      <c r="G103" s="240">
        <f>G98*'Assumptions-Hotel'!$N$8</f>
        <v>0</v>
      </c>
      <c r="H103" s="240">
        <f>H98*'Assumptions-Hotel'!$N$8</f>
        <v>0</v>
      </c>
      <c r="I103" s="240">
        <f>I98*'Assumptions-Hotel'!$N$8</f>
        <v>0</v>
      </c>
      <c r="J103" s="240">
        <f>J98*'Assumptions-Hotel'!$N$8</f>
        <v>0</v>
      </c>
      <c r="K103" s="240">
        <f>K98*'Assumptions-Hotel'!$N$8</f>
        <v>0</v>
      </c>
      <c r="L103" s="240">
        <f>L98*'Assumptions-Hotel'!$N$8</f>
        <v>0</v>
      </c>
      <c r="M103" s="240">
        <f>M98*'Assumptions-Hotel'!$N$8</f>
        <v>0</v>
      </c>
      <c r="N103" s="248">
        <f>N98*'Assumptions-Hotel'!$N$8</f>
        <v>0</v>
      </c>
    </row>
    <row r="104" spans="2:14" x14ac:dyDescent="0.2">
      <c r="B104" s="4" t="s">
        <v>353</v>
      </c>
      <c r="C104" s="12"/>
      <c r="D104" s="242">
        <f t="shared" ref="D104:N104" si="67">SUM(D102:D103)</f>
        <v>0</v>
      </c>
      <c r="E104" s="242">
        <f t="shared" si="67"/>
        <v>0</v>
      </c>
      <c r="F104" s="242">
        <f t="shared" si="67"/>
        <v>0</v>
      </c>
      <c r="G104" s="242">
        <f t="shared" si="67"/>
        <v>0</v>
      </c>
      <c r="H104" s="242">
        <f t="shared" si="67"/>
        <v>0</v>
      </c>
      <c r="I104" s="242">
        <f t="shared" si="67"/>
        <v>0</v>
      </c>
      <c r="J104" s="242">
        <f t="shared" si="67"/>
        <v>0</v>
      </c>
      <c r="K104" s="242">
        <f t="shared" si="67"/>
        <v>0</v>
      </c>
      <c r="L104" s="242">
        <f t="shared" si="67"/>
        <v>0</v>
      </c>
      <c r="M104" s="242">
        <f t="shared" si="67"/>
        <v>0</v>
      </c>
      <c r="N104" s="247">
        <f t="shared" si="67"/>
        <v>0</v>
      </c>
    </row>
    <row r="105" spans="2:14" x14ac:dyDescent="0.2">
      <c r="B105" s="4"/>
      <c r="C105" s="1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7"/>
    </row>
    <row r="106" spans="2:14" x14ac:dyDescent="0.2">
      <c r="B106" s="4" t="s">
        <v>354</v>
      </c>
      <c r="C106" s="1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7"/>
    </row>
    <row r="107" spans="2:14" x14ac:dyDescent="0.2">
      <c r="B107" s="246" t="str">
        <f>B102</f>
        <v>Food &amp; Beverage Revenue</v>
      </c>
      <c r="C107" s="12"/>
      <c r="D107" s="242">
        <f>D97*'Assumptions-Hotel'!$N$9</f>
        <v>0</v>
      </c>
      <c r="E107" s="242">
        <f>E97*'Assumptions-Hotel'!$N$9</f>
        <v>0</v>
      </c>
      <c r="F107" s="242">
        <f>F97*'Assumptions-Hotel'!$N$9</f>
        <v>0</v>
      </c>
      <c r="G107" s="242">
        <f>G97*'Assumptions-Hotel'!$N$9</f>
        <v>0</v>
      </c>
      <c r="H107" s="242">
        <f>H97*'Assumptions-Hotel'!$N$9</f>
        <v>0</v>
      </c>
      <c r="I107" s="242">
        <f>I97*'Assumptions-Hotel'!$N$9</f>
        <v>0</v>
      </c>
      <c r="J107" s="242">
        <f>J97*'Assumptions-Hotel'!$N$9</f>
        <v>0</v>
      </c>
      <c r="K107" s="242">
        <f>K97*'Assumptions-Hotel'!$N$9</f>
        <v>0</v>
      </c>
      <c r="L107" s="242">
        <f>L97*'Assumptions-Hotel'!$N$9</f>
        <v>0</v>
      </c>
      <c r="M107" s="242">
        <f>M97*'Assumptions-Hotel'!$N$9</f>
        <v>0</v>
      </c>
      <c r="N107" s="247">
        <f>N97*'Assumptions-Hotel'!$N$9</f>
        <v>0</v>
      </c>
    </row>
    <row r="108" spans="2:14" x14ac:dyDescent="0.2">
      <c r="B108" s="246" t="str">
        <f>B103</f>
        <v>Lifestyle Hotel</v>
      </c>
      <c r="C108" s="12"/>
      <c r="D108" s="240">
        <f>D98*'Assumptions-Hotel'!$N$9</f>
        <v>0</v>
      </c>
      <c r="E108" s="240">
        <f>E98*'Assumptions-Hotel'!$N$9</f>
        <v>0</v>
      </c>
      <c r="F108" s="240">
        <f>F98*'Assumptions-Hotel'!$N$9</f>
        <v>0</v>
      </c>
      <c r="G108" s="240">
        <f>G98*'Assumptions-Hotel'!$N$9</f>
        <v>0</v>
      </c>
      <c r="H108" s="240">
        <f>H98*'Assumptions-Hotel'!$N$9</f>
        <v>0</v>
      </c>
      <c r="I108" s="240">
        <f>I98*'Assumptions-Hotel'!$N$9</f>
        <v>0</v>
      </c>
      <c r="J108" s="240">
        <f>J98*'Assumptions-Hotel'!$N$9</f>
        <v>0</v>
      </c>
      <c r="K108" s="240">
        <f>K98*'Assumptions-Hotel'!$N$9</f>
        <v>0</v>
      </c>
      <c r="L108" s="240">
        <f>L98*'Assumptions-Hotel'!$N$9</f>
        <v>0</v>
      </c>
      <c r="M108" s="240">
        <f>M98*'Assumptions-Hotel'!$N$9</f>
        <v>0</v>
      </c>
      <c r="N108" s="248">
        <f>N98*'Assumptions-Hotel'!$N$9</f>
        <v>0</v>
      </c>
    </row>
    <row r="109" spans="2:14" x14ac:dyDescent="0.2">
      <c r="B109" s="4" t="s">
        <v>358</v>
      </c>
      <c r="C109" s="12"/>
      <c r="D109" s="242">
        <f t="shared" ref="D109:N109" si="68">SUM(D107:D108)</f>
        <v>0</v>
      </c>
      <c r="E109" s="242">
        <f t="shared" si="68"/>
        <v>0</v>
      </c>
      <c r="F109" s="242">
        <f t="shared" si="68"/>
        <v>0</v>
      </c>
      <c r="G109" s="242">
        <f t="shared" si="68"/>
        <v>0</v>
      </c>
      <c r="H109" s="242">
        <f t="shared" si="68"/>
        <v>0</v>
      </c>
      <c r="I109" s="242">
        <f t="shared" si="68"/>
        <v>0</v>
      </c>
      <c r="J109" s="242">
        <f t="shared" si="68"/>
        <v>0</v>
      </c>
      <c r="K109" s="242">
        <f t="shared" si="68"/>
        <v>0</v>
      </c>
      <c r="L109" s="242">
        <f t="shared" si="68"/>
        <v>0</v>
      </c>
      <c r="M109" s="242">
        <f t="shared" si="68"/>
        <v>0</v>
      </c>
      <c r="N109" s="247">
        <f t="shared" si="68"/>
        <v>0</v>
      </c>
    </row>
    <row r="110" spans="2:14" x14ac:dyDescent="0.2">
      <c r="B110" s="4"/>
      <c r="C110" s="12"/>
      <c r="D110" s="242"/>
      <c r="E110" s="242"/>
      <c r="F110" s="242"/>
      <c r="G110" s="242"/>
      <c r="H110" s="211"/>
      <c r="I110" s="242"/>
      <c r="J110" s="242"/>
      <c r="K110" s="242"/>
      <c r="L110" s="242"/>
      <c r="M110" s="242"/>
      <c r="N110" s="247"/>
    </row>
    <row r="111" spans="2:14" x14ac:dyDescent="0.2">
      <c r="B111" s="4" t="s">
        <v>355</v>
      </c>
      <c r="C111" s="12"/>
      <c r="D111" s="241">
        <f t="shared" ref="D111:N111" si="69">D99+D104+D109</f>
        <v>0</v>
      </c>
      <c r="E111" s="241">
        <f t="shared" si="69"/>
        <v>0</v>
      </c>
      <c r="F111" s="241">
        <f t="shared" si="69"/>
        <v>0</v>
      </c>
      <c r="G111" s="241">
        <f t="shared" si="69"/>
        <v>0</v>
      </c>
      <c r="H111" s="241">
        <f t="shared" si="69"/>
        <v>0</v>
      </c>
      <c r="I111" s="241">
        <f t="shared" si="69"/>
        <v>0</v>
      </c>
      <c r="J111" s="241">
        <f t="shared" si="69"/>
        <v>0</v>
      </c>
      <c r="K111" s="241">
        <f t="shared" si="69"/>
        <v>0</v>
      </c>
      <c r="L111" s="241">
        <f t="shared" si="69"/>
        <v>0</v>
      </c>
      <c r="M111" s="241">
        <f t="shared" si="69"/>
        <v>0</v>
      </c>
      <c r="N111" s="249">
        <f t="shared" si="69"/>
        <v>0</v>
      </c>
    </row>
    <row r="112" spans="2:14" x14ac:dyDescent="0.2">
      <c r="B112" s="4"/>
      <c r="C112" s="1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7"/>
    </row>
    <row r="113" spans="2:14" x14ac:dyDescent="0.2">
      <c r="B113" s="4" t="s">
        <v>207</v>
      </c>
      <c r="C113" s="1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7"/>
    </row>
    <row r="114" spans="2:14" x14ac:dyDescent="0.2">
      <c r="B114" s="246" t="s">
        <v>357</v>
      </c>
      <c r="C114" s="12"/>
      <c r="D114" s="242">
        <f>-SUM(D81:D82)*'Assumptions-Hotel'!$N$16*(1+'Assumptions-Overall'!$C$39)^('CashFlow-Hotel'!D$7-1)</f>
        <v>0</v>
      </c>
      <c r="E114" s="242">
        <f>-SUM(E81:E82)*'Assumptions-Hotel'!$N$16*(1+'Assumptions-Overall'!$C$39)^('CashFlow-Hotel'!E$7-1)</f>
        <v>0</v>
      </c>
      <c r="F114" s="242">
        <f>-SUM(F81:F82)*'Assumptions-Hotel'!$N$16*(1+'Assumptions-Overall'!$C$39)^('CashFlow-Hotel'!F$7-1)</f>
        <v>0</v>
      </c>
      <c r="G114" s="242">
        <f>-SUM(G81:G82)*'Assumptions-Hotel'!$N$16*(1+'Assumptions-Overall'!$C$39)^('CashFlow-Hotel'!G$7-1)</f>
        <v>0</v>
      </c>
      <c r="H114" s="242">
        <f>-SUM(H81:H82)*'Assumptions-Hotel'!$N$16*(1+'Assumptions-Overall'!$C$39)^('CashFlow-Hotel'!H$7-1)</f>
        <v>0</v>
      </c>
      <c r="I114" s="242">
        <f>-SUM(I81:I82)*'Assumptions-Hotel'!$N$16*(1+'Assumptions-Overall'!$C$39)^('CashFlow-Hotel'!I$7-1)</f>
        <v>0</v>
      </c>
      <c r="J114" s="242">
        <f>-SUM(J81:J82)*'Assumptions-Hotel'!$N$16*(1+'Assumptions-Overall'!$C$39)^('CashFlow-Hotel'!J$7-1)</f>
        <v>0</v>
      </c>
      <c r="K114" s="242">
        <f>-SUM(K81:K82)*'Assumptions-Hotel'!$N$16*(1+'Assumptions-Overall'!$C$39)^('CashFlow-Hotel'!K$7-1)</f>
        <v>0</v>
      </c>
      <c r="L114" s="242">
        <f>-SUM(L81:L82)*'Assumptions-Hotel'!$N$16*(1+'Assumptions-Overall'!$C$39)^('CashFlow-Hotel'!L$7-1)</f>
        <v>0</v>
      </c>
      <c r="M114" s="242">
        <f>-SUM(M81:M82)*'Assumptions-Hotel'!$N$16*(1+'Assumptions-Overall'!$C$39)^('CashFlow-Hotel'!M$7-1)</f>
        <v>0</v>
      </c>
      <c r="N114" s="247">
        <f>-SUM(N81:N82)*'Assumptions-Hotel'!$N$16*(1+'Assumptions-Overall'!$C$39)^('CashFlow-Hotel'!N$7-1)</f>
        <v>0</v>
      </c>
    </row>
    <row r="115" spans="2:14" x14ac:dyDescent="0.2">
      <c r="B115" s="246" t="s">
        <v>356</v>
      </c>
      <c r="C115" s="12"/>
      <c r="D115" s="242">
        <f>-D104*(1-'Assumptions-Hotel'!$N12)</f>
        <v>0</v>
      </c>
      <c r="E115" s="242">
        <f>-E104*(1-'Assumptions-Hotel'!$N12)</f>
        <v>0</v>
      </c>
      <c r="F115" s="242">
        <f>-F104*(1-'Assumptions-Hotel'!$N12)</f>
        <v>0</v>
      </c>
      <c r="G115" s="242">
        <f>-G104*(1-'Assumptions-Hotel'!$N12)</f>
        <v>0</v>
      </c>
      <c r="H115" s="242">
        <f>-H104*(1-'Assumptions-Hotel'!$N12)</f>
        <v>0</v>
      </c>
      <c r="I115" s="242">
        <f>-I104*(1-'Assumptions-Hotel'!$N12)</f>
        <v>0</v>
      </c>
      <c r="J115" s="242">
        <f>-J104*(1-'Assumptions-Hotel'!$N12)</f>
        <v>0</v>
      </c>
      <c r="K115" s="242">
        <f>-K104*(1-'Assumptions-Hotel'!$N12)</f>
        <v>0</v>
      </c>
      <c r="L115" s="242">
        <f>-L104*(1-'Assumptions-Hotel'!$N12)</f>
        <v>0</v>
      </c>
      <c r="M115" s="242">
        <f>-M104*(1-'Assumptions-Hotel'!$N12)</f>
        <v>0</v>
      </c>
      <c r="N115" s="247">
        <f>-N104*(1-'Assumptions-Hotel'!$N12)</f>
        <v>0</v>
      </c>
    </row>
    <row r="116" spans="2:14" x14ac:dyDescent="0.2">
      <c r="B116" s="246" t="s">
        <v>354</v>
      </c>
      <c r="C116" s="12"/>
      <c r="D116" s="240">
        <f>-D109*(1-'Assumptions-Hotel'!$N13)</f>
        <v>0</v>
      </c>
      <c r="E116" s="240">
        <f>-E109*(1-'Assumptions-Hotel'!$N13)</f>
        <v>0</v>
      </c>
      <c r="F116" s="240">
        <f>-F109*(1-'Assumptions-Hotel'!$N13)</f>
        <v>0</v>
      </c>
      <c r="G116" s="240">
        <f>-G109*(1-'Assumptions-Hotel'!$N13)</f>
        <v>0</v>
      </c>
      <c r="H116" s="240">
        <f>-H109*(1-'Assumptions-Hotel'!$N13)</f>
        <v>0</v>
      </c>
      <c r="I116" s="240">
        <f>-I109*(1-'Assumptions-Hotel'!$N13)</f>
        <v>0</v>
      </c>
      <c r="J116" s="240">
        <f>-J109*(1-'Assumptions-Hotel'!$N13)</f>
        <v>0</v>
      </c>
      <c r="K116" s="240">
        <f>-K109*(1-'Assumptions-Hotel'!$N13)</f>
        <v>0</v>
      </c>
      <c r="L116" s="240">
        <f>-L109*(1-'Assumptions-Hotel'!$N13)</f>
        <v>0</v>
      </c>
      <c r="M116" s="240">
        <f>-M109*(1-'Assumptions-Hotel'!$N13)</f>
        <v>0</v>
      </c>
      <c r="N116" s="248">
        <f>-N109*(1-'Assumptions-Hotel'!$N13)</f>
        <v>0</v>
      </c>
    </row>
    <row r="117" spans="2:14" x14ac:dyDescent="0.2">
      <c r="B117" s="4" t="s">
        <v>308</v>
      </c>
      <c r="C117" s="12"/>
      <c r="D117" s="242">
        <f>SUM(D114:D116)</f>
        <v>0</v>
      </c>
      <c r="E117" s="242">
        <f t="shared" ref="E117" si="70">SUM(E114:E116)</f>
        <v>0</v>
      </c>
      <c r="F117" s="242">
        <f t="shared" ref="F117" si="71">SUM(F114:F116)</f>
        <v>0</v>
      </c>
      <c r="G117" s="242">
        <f t="shared" ref="G117" si="72">SUM(G114:G116)</f>
        <v>0</v>
      </c>
      <c r="H117" s="242">
        <f t="shared" ref="H117" si="73">SUM(H114:H116)</f>
        <v>0</v>
      </c>
      <c r="I117" s="242">
        <f t="shared" ref="I117" si="74">SUM(I114:I116)</f>
        <v>0</v>
      </c>
      <c r="J117" s="242">
        <f t="shared" ref="J117" si="75">SUM(J114:J116)</f>
        <v>0</v>
      </c>
      <c r="K117" s="242">
        <f t="shared" ref="K117" si="76">SUM(K114:K116)</f>
        <v>0</v>
      </c>
      <c r="L117" s="242">
        <f t="shared" ref="L117" si="77">SUM(L114:L116)</f>
        <v>0</v>
      </c>
      <c r="M117" s="242">
        <f t="shared" ref="M117" si="78">SUM(M114:M116)</f>
        <v>0</v>
      </c>
      <c r="N117" s="247">
        <f t="shared" ref="N117" si="79">SUM(N114:N116)</f>
        <v>0</v>
      </c>
    </row>
    <row r="118" spans="2:14" x14ac:dyDescent="0.2">
      <c r="B118" s="4"/>
      <c r="C118" s="1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7"/>
    </row>
    <row r="119" spans="2:14" x14ac:dyDescent="0.2">
      <c r="B119" s="4" t="s">
        <v>283</v>
      </c>
      <c r="C119" s="12"/>
      <c r="D119" s="242">
        <f>-SUM(D81:D82)*'Assumptions-Hotel'!$N$17*(1+'Assumptions-Overall'!$C$40)^('CashFlow-Hotel'!D$7-1)</f>
        <v>0</v>
      </c>
      <c r="E119" s="242">
        <f>-SUM(E81:E82)*'Assumptions-Hotel'!$N$17*(1+'Assumptions-Overall'!$C$40)^('CashFlow-Hotel'!E$7-1)</f>
        <v>0</v>
      </c>
      <c r="F119" s="242">
        <f>-SUM(F81:F82)*'Assumptions-Hotel'!$N$17*(1+'Assumptions-Overall'!$C$40)^('CashFlow-Hotel'!F$7-1)</f>
        <v>0</v>
      </c>
      <c r="G119" s="242">
        <f>-SUM(G81:G82)*'Assumptions-Hotel'!$N$17*(1+'Assumptions-Overall'!$C$40)^('CashFlow-Hotel'!G$7-1)</f>
        <v>0</v>
      </c>
      <c r="H119" s="242">
        <f>-SUM(H81:H82)*'Assumptions-Hotel'!$N$17*(1+'Assumptions-Overall'!$C$40)^('CashFlow-Hotel'!H$7-1)</f>
        <v>0</v>
      </c>
      <c r="I119" s="242">
        <f>-SUM(I81:I82)*'Assumptions-Hotel'!$N$17*(1+'Assumptions-Overall'!$C$40)^('CashFlow-Hotel'!I$7-1)</f>
        <v>0</v>
      </c>
      <c r="J119" s="242">
        <f>-SUM(J81:J82)*'Assumptions-Hotel'!$N$17*(1+'Assumptions-Overall'!$C$40)^('CashFlow-Hotel'!J$7-1)</f>
        <v>0</v>
      </c>
      <c r="K119" s="242">
        <f>-SUM(K81:K82)*'Assumptions-Hotel'!$N$17*(1+'Assumptions-Overall'!$C$40)^('CashFlow-Hotel'!K$7-1)</f>
        <v>0</v>
      </c>
      <c r="L119" s="242">
        <f>-SUM(L81:L82)*'Assumptions-Hotel'!$N$17*(1+'Assumptions-Overall'!$C$40)^('CashFlow-Hotel'!L$7-1)</f>
        <v>0</v>
      </c>
      <c r="M119" s="242">
        <f>-SUM(M81:M82)*'Assumptions-Hotel'!$N$17*(1+'Assumptions-Overall'!$C$40)^('CashFlow-Hotel'!M$7-1)</f>
        <v>0</v>
      </c>
      <c r="N119" s="247">
        <f>-SUM(N81:N82)*'Assumptions-Hotel'!$N$17*(1+'Assumptions-Overall'!$C$40)^('CashFlow-Hotel'!N$7-1)</f>
        <v>0</v>
      </c>
    </row>
    <row r="120" spans="2:14" x14ac:dyDescent="0.2">
      <c r="B120" s="4"/>
      <c r="C120" s="1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7"/>
    </row>
    <row r="121" spans="2:14" x14ac:dyDescent="0.2">
      <c r="B121" s="4" t="s">
        <v>310</v>
      </c>
      <c r="C121" s="12"/>
      <c r="D121" s="241">
        <f>SUM(D111)+D117+D119</f>
        <v>0</v>
      </c>
      <c r="E121" s="241">
        <f t="shared" ref="E121:K121" si="80">SUM(E111)+E117+E119</f>
        <v>0</v>
      </c>
      <c r="F121" s="241">
        <f t="shared" si="80"/>
        <v>0</v>
      </c>
      <c r="G121" s="241">
        <f t="shared" si="80"/>
        <v>0</v>
      </c>
      <c r="H121" s="241">
        <f t="shared" si="80"/>
        <v>0</v>
      </c>
      <c r="I121" s="241">
        <f t="shared" si="80"/>
        <v>0</v>
      </c>
      <c r="J121" s="241">
        <f t="shared" si="80"/>
        <v>0</v>
      </c>
      <c r="K121" s="241">
        <f t="shared" si="80"/>
        <v>0</v>
      </c>
      <c r="L121" s="241">
        <f>SUM(L111)+L117+L119</f>
        <v>0</v>
      </c>
      <c r="M121" s="241">
        <f t="shared" ref="M121:N121" si="81">SUM(M111)+M117+M119</f>
        <v>0</v>
      </c>
      <c r="N121" s="249">
        <f t="shared" si="81"/>
        <v>0</v>
      </c>
    </row>
    <row r="122" spans="2:14" x14ac:dyDescent="0.2">
      <c r="B122" s="4"/>
      <c r="C122" s="1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55"/>
    </row>
    <row r="123" spans="2:14" x14ac:dyDescent="0.2">
      <c r="B123" s="4" t="s">
        <v>309</v>
      </c>
      <c r="C123" s="12"/>
      <c r="D123" s="241">
        <f t="shared" ref="D123:M123" si="82">SUM(D121:D122)</f>
        <v>0</v>
      </c>
      <c r="E123" s="241">
        <f t="shared" si="82"/>
        <v>0</v>
      </c>
      <c r="F123" s="241">
        <f t="shared" si="82"/>
        <v>0</v>
      </c>
      <c r="G123" s="241">
        <f t="shared" si="82"/>
        <v>0</v>
      </c>
      <c r="H123" s="241">
        <f t="shared" si="82"/>
        <v>0</v>
      </c>
      <c r="I123" s="241">
        <f t="shared" si="82"/>
        <v>0</v>
      </c>
      <c r="J123" s="241">
        <f t="shared" si="82"/>
        <v>0</v>
      </c>
      <c r="K123" s="241">
        <f t="shared" si="82"/>
        <v>0</v>
      </c>
      <c r="L123" s="241">
        <f t="shared" si="82"/>
        <v>0</v>
      </c>
      <c r="M123" s="241">
        <f t="shared" si="82"/>
        <v>0</v>
      </c>
      <c r="N123" s="247"/>
    </row>
    <row r="124" spans="2:14" x14ac:dyDescent="0.2">
      <c r="B124" s="4"/>
      <c r="C124" s="1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7"/>
    </row>
    <row r="125" spans="2:14" x14ac:dyDescent="0.2">
      <c r="B125" s="53" t="s">
        <v>209</v>
      </c>
      <c r="C125" s="1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7"/>
    </row>
    <row r="126" spans="2:14" x14ac:dyDescent="0.2">
      <c r="B126" s="4" t="s">
        <v>311</v>
      </c>
      <c r="C126" s="12"/>
      <c r="D126" s="242">
        <f>-(AND(D$8&gt;=YEAR(PhaseIIConBegin),D$8&lt;=YEAR(PhaseIIConEnd)))*SUM($D78:$N78)*SUM('Assumptions-Overall'!$M$28:$M$29)*(1+'Assumptions-Overall'!$C$41)^('CashFlow-Hotel'!D$7-1)/(YEAR(PhaseIIConEnd)-YEAR(PhaseIIConBegin)+1)</f>
        <v>0</v>
      </c>
      <c r="E126" s="242">
        <f>-(AND(E$8&gt;=YEAR(PhaseIIConBegin),E$8&lt;=YEAR(PhaseIIConEnd)))*SUM($D78:$N78)*SUM('Assumptions-Overall'!$M$28:$M$29)*(1+'Assumptions-Overall'!$C$41)^('CashFlow-Hotel'!E$7-1)/(YEAR(PhaseIIConEnd)-YEAR(PhaseIIConBegin)+1)</f>
        <v>0</v>
      </c>
      <c r="F126" s="242">
        <f>-(AND(F$8&gt;=YEAR(PhaseIIConBegin),F$8&lt;=YEAR(PhaseIIConEnd)))*SUM($D78:$N78)*SUM('Assumptions-Overall'!$M$28:$M$29)*(1+'Assumptions-Overall'!$C$41)^('CashFlow-Hotel'!F$7-1)/(YEAR(PhaseIIConEnd)-YEAR(PhaseIIConBegin)+1)</f>
        <v>0</v>
      </c>
      <c r="G126" s="242">
        <f>-(AND(G$8&gt;=YEAR(PhaseIIConBegin),G$8&lt;=YEAR(PhaseIIConEnd)))*SUM($D78:$N78)*SUM('Assumptions-Overall'!$M$28:$M$29)*(1+'Assumptions-Overall'!$C$41)^('CashFlow-Hotel'!G$7-1)/(YEAR(PhaseIIConEnd)-YEAR(PhaseIIConBegin)+1)</f>
        <v>0</v>
      </c>
      <c r="H126" s="242">
        <f>-(AND(H$8&gt;=YEAR(PhaseIIConBegin),H$8&lt;=YEAR(PhaseIIConEnd)))*SUM($D78:$N78)*SUM('Assumptions-Overall'!$M$28:$M$29)*(1+'Assumptions-Overall'!$C$41)^('CashFlow-Hotel'!H$7-1)/(YEAR(PhaseIIConEnd)-YEAR(PhaseIIConBegin)+1)</f>
        <v>0</v>
      </c>
      <c r="I126" s="242">
        <f>-(AND(I$8&gt;=YEAR(PhaseIIConBegin),I$8&lt;=YEAR(PhaseIIConEnd)))*SUM($D78:$N78)*SUM('Assumptions-Overall'!$M$28:$M$29)*(1+'Assumptions-Overall'!$C$41)^('CashFlow-Hotel'!I$7-1)/(YEAR(PhaseIIConEnd)-YEAR(PhaseIIConBegin)+1)</f>
        <v>0</v>
      </c>
      <c r="J126" s="242">
        <f>-(AND(J$8&gt;=YEAR(PhaseIIConBegin),J$8&lt;=YEAR(PhaseIIConEnd)))*SUM($D78:$N78)*SUM('Assumptions-Overall'!$M$28:$M$29)*(1+'Assumptions-Overall'!$C$41)^('CashFlow-Hotel'!J$7-1)/(YEAR(PhaseIIConEnd)-YEAR(PhaseIIConBegin)+1)</f>
        <v>0</v>
      </c>
      <c r="K126" s="242">
        <f>-(AND(K$8&gt;=YEAR(PhaseIIConBegin),K$8&lt;=YEAR(PhaseIIConEnd)))*SUM($D78:$N78)*SUM('Assumptions-Overall'!$M$28:$M$29)*(1+'Assumptions-Overall'!$C$41)^('CashFlow-Hotel'!K$7-1)/(YEAR(PhaseIIConEnd)-YEAR(PhaseIIConBegin)+1)</f>
        <v>0</v>
      </c>
      <c r="L126" s="242">
        <f>-(AND(L$8&gt;=YEAR(PhaseIIConBegin),L$8&lt;=YEAR(PhaseIIConEnd)))*SUM($D78:$N78)*SUM('Assumptions-Overall'!$M$28:$M$29)*(1+'Assumptions-Overall'!$C$41)^('CashFlow-Hotel'!L$7-1)/(YEAR(PhaseIIConEnd)-YEAR(PhaseIIConBegin)+1)</f>
        <v>0</v>
      </c>
      <c r="M126" s="242">
        <f>-(AND(M$8&gt;=YEAR(PhaseIIConBegin),M$8&lt;=YEAR(PhaseIIConEnd)))*SUM($D78:$N78)*SUM('Assumptions-Overall'!$M$28:$M$29)*(1+'Assumptions-Overall'!$C$41)^('CashFlow-Hotel'!M$7-1)/(YEAR(PhaseIIConEnd)-YEAR(PhaseIIConBegin)+1)</f>
        <v>0</v>
      </c>
      <c r="N126" s="247"/>
    </row>
    <row r="127" spans="2:14" x14ac:dyDescent="0.2">
      <c r="B127" s="4" t="s">
        <v>312</v>
      </c>
      <c r="C127" s="12"/>
      <c r="D127" s="242">
        <f>(AND(D$8&gt;=YEAR(PhaseIIPreconBegin),D$8&lt;=YEAR(PhaseIIConEnd)))*SUM($D126:$N126)*'Assumptions-Overall'!$H$43/(YEAR(PhaseIIConEnd)-YEAR(PhaseIIPreconBegin)+1)</f>
        <v>0</v>
      </c>
      <c r="E127" s="242">
        <f>(AND(E$8&gt;=YEAR(PhaseIIPreconBegin),E$8&lt;=YEAR(PhaseIIConEnd)))*SUM($D126:$N126)*'Assumptions-Overall'!$H$43/(YEAR(PhaseIIConEnd)-YEAR(PhaseIIPreconBegin)+1)</f>
        <v>0</v>
      </c>
      <c r="F127" s="242">
        <f>(AND(F$8&gt;=YEAR(PhaseIIPreconBegin),F$8&lt;=YEAR(PhaseIIConEnd)))*SUM($D126:$N126)*'Assumptions-Overall'!$H$43/(YEAR(PhaseIIConEnd)-YEAR(PhaseIIPreconBegin)+1)</f>
        <v>0</v>
      </c>
      <c r="G127" s="242">
        <f>(AND(G$8&gt;=YEAR(PhaseIIPreconBegin),G$8&lt;=YEAR(PhaseIIConEnd)))*SUM($D126:$N126)*'Assumptions-Overall'!$H$43/(YEAR(PhaseIIConEnd)-YEAR(PhaseIIPreconBegin)+1)</f>
        <v>0</v>
      </c>
      <c r="H127" s="242">
        <f>(AND(H$8&gt;=YEAR(PhaseIIPreconBegin),H$8&lt;=YEAR(PhaseIIConEnd)))*SUM($D126:$N126)*'Assumptions-Overall'!$H$43/(YEAR(PhaseIIConEnd)-YEAR(PhaseIIPreconBegin)+1)</f>
        <v>0</v>
      </c>
      <c r="I127" s="242">
        <f>(AND(I$8&gt;=YEAR(PhaseIIPreconBegin),I$8&lt;=YEAR(PhaseIIConEnd)))*SUM($D126:$N126)*'Assumptions-Overall'!$H$43/(YEAR(PhaseIIConEnd)-YEAR(PhaseIIPreconBegin)+1)</f>
        <v>0</v>
      </c>
      <c r="J127" s="242">
        <f>(AND(J$8&gt;=YEAR(PhaseIIPreconBegin),J$8&lt;=YEAR(PhaseIIConEnd)))*SUM($D126:$N126)*'Assumptions-Overall'!$H$43/(YEAR(PhaseIIConEnd)-YEAR(PhaseIIPreconBegin)+1)</f>
        <v>0</v>
      </c>
      <c r="K127" s="242">
        <f>(AND(K$8&gt;=YEAR(PhaseIIPreconBegin),K$8&lt;=YEAR(PhaseIIConEnd)))*SUM($D126:$N126)*'Assumptions-Overall'!$H$43/(YEAR(PhaseIIConEnd)-YEAR(PhaseIIPreconBegin)+1)</f>
        <v>0</v>
      </c>
      <c r="L127" s="242">
        <f>(AND(L$8&gt;=YEAR(PhaseIIPreconBegin),L$8&lt;=YEAR(PhaseIIConEnd)))*SUM($D126:$N126)*'Assumptions-Overall'!$H$43/(YEAR(PhaseIIConEnd)-YEAR(PhaseIIPreconBegin)+1)</f>
        <v>0</v>
      </c>
      <c r="M127" s="242">
        <f>(AND(M$8&gt;=YEAR(PhaseIIPreconBegin),M$8&lt;=YEAR(PhaseIIConEnd)))*SUM($D126:$N126)*'Assumptions-Overall'!$H$43/(YEAR(PhaseIIConEnd)-YEAR(PhaseIIPreconBegin)+1)</f>
        <v>0</v>
      </c>
      <c r="N127" s="247"/>
    </row>
    <row r="128" spans="2:14" x14ac:dyDescent="0.2">
      <c r="B128" s="4" t="s">
        <v>183</v>
      </c>
      <c r="C128" s="12"/>
      <c r="D128" s="242">
        <f>(AND(D$8&gt;=YEAR(PhaseIIPreconBegin),D$8&lt;=YEAR(PhaseIIConEnd)))*SUM($D126:$N126)*'Assumptions-Overall'!$H$44/(YEAR(PhaseIIConEnd)-YEAR(PhaseIIPreconBegin)+1)</f>
        <v>0</v>
      </c>
      <c r="E128" s="242">
        <f>(AND(E$8&gt;=YEAR(PhaseIIPreconBegin),E$8&lt;=YEAR(PhaseIIConEnd)))*SUM($D126:$N126)*'Assumptions-Overall'!$H$44/(YEAR(PhaseIIConEnd)-YEAR(PhaseIIPreconBegin)+1)</f>
        <v>0</v>
      </c>
      <c r="F128" s="242">
        <f>(AND(F$8&gt;=YEAR(PhaseIIPreconBegin),F$8&lt;=YEAR(PhaseIIConEnd)))*SUM($D126:$N126)*'Assumptions-Overall'!$H$44/(YEAR(PhaseIIConEnd)-YEAR(PhaseIIPreconBegin)+1)</f>
        <v>0</v>
      </c>
      <c r="G128" s="242">
        <f>(AND(G$8&gt;=YEAR(PhaseIIPreconBegin),G$8&lt;=YEAR(PhaseIIConEnd)))*SUM($D126:$N126)*'Assumptions-Overall'!$H$44/(YEAR(PhaseIIConEnd)-YEAR(PhaseIIPreconBegin)+1)</f>
        <v>0</v>
      </c>
      <c r="H128" s="242">
        <f>(AND(H$8&gt;=YEAR(PhaseIIPreconBegin),H$8&lt;=YEAR(PhaseIIConEnd)))*SUM($D126:$N126)*'Assumptions-Overall'!$H$44/(YEAR(PhaseIIConEnd)-YEAR(PhaseIIPreconBegin)+1)</f>
        <v>0</v>
      </c>
      <c r="I128" s="242">
        <f>(AND(I$8&gt;=YEAR(PhaseIIPreconBegin),I$8&lt;=YEAR(PhaseIIConEnd)))*SUM($D126:$N126)*'Assumptions-Overall'!$H$44/(YEAR(PhaseIIConEnd)-YEAR(PhaseIIPreconBegin)+1)</f>
        <v>0</v>
      </c>
      <c r="J128" s="242">
        <f>(AND(J$8&gt;=YEAR(PhaseIIPreconBegin),J$8&lt;=YEAR(PhaseIIConEnd)))*SUM($D126:$N126)*'Assumptions-Overall'!$H$44/(YEAR(PhaseIIConEnd)-YEAR(PhaseIIPreconBegin)+1)</f>
        <v>0</v>
      </c>
      <c r="K128" s="242">
        <f>(AND(K$8&gt;=YEAR(PhaseIIPreconBegin),K$8&lt;=YEAR(PhaseIIConEnd)))*SUM($D126:$N126)*'Assumptions-Overall'!$H$44/(YEAR(PhaseIIConEnd)-YEAR(PhaseIIPreconBegin)+1)</f>
        <v>0</v>
      </c>
      <c r="L128" s="242">
        <f>(AND(L$8&gt;=YEAR(PhaseIIPreconBegin),L$8&lt;=YEAR(PhaseIIConEnd)))*SUM($D126:$N126)*'Assumptions-Overall'!$H$44/(YEAR(PhaseIIConEnd)-YEAR(PhaseIIPreconBegin)+1)</f>
        <v>0</v>
      </c>
      <c r="M128" s="242">
        <f>(AND(M$8&gt;=YEAR(PhaseIIPreconBegin),M$8&lt;=YEAR(PhaseIIConEnd)))*SUM($D126:$N126)*'Assumptions-Overall'!$H$44/(YEAR(PhaseIIConEnd)-YEAR(PhaseIIPreconBegin)+1)</f>
        <v>0</v>
      </c>
      <c r="N128" s="247"/>
    </row>
    <row r="129" spans="2:14" x14ac:dyDescent="0.2">
      <c r="B129" s="4" t="s">
        <v>184</v>
      </c>
      <c r="C129" s="12"/>
      <c r="D129" s="240">
        <f>SUM(D126:D128)*'Assumptions-Overall'!$H$45</f>
        <v>0</v>
      </c>
      <c r="E129" s="240">
        <f>SUM(E126:E128)*'Assumptions-Overall'!$H$45</f>
        <v>0</v>
      </c>
      <c r="F129" s="240">
        <f>SUM(F126:F128)*'Assumptions-Overall'!$H$45</f>
        <v>0</v>
      </c>
      <c r="G129" s="240">
        <f>SUM(G126:G128)*'Assumptions-Overall'!$H$45</f>
        <v>0</v>
      </c>
      <c r="H129" s="240">
        <f>SUM(H126:H128)*'Assumptions-Overall'!$H$45</f>
        <v>0</v>
      </c>
      <c r="I129" s="240">
        <f>SUM(I126:I128)*'Assumptions-Overall'!$H$45</f>
        <v>0</v>
      </c>
      <c r="J129" s="240">
        <f>SUM(J126:J128)*'Assumptions-Overall'!$H$45</f>
        <v>0</v>
      </c>
      <c r="K129" s="240">
        <f>SUM(K126:K128)*'Assumptions-Overall'!$H$45</f>
        <v>0</v>
      </c>
      <c r="L129" s="240">
        <f>SUM(L126:L128)*'Assumptions-Overall'!$H$45</f>
        <v>0</v>
      </c>
      <c r="M129" s="240">
        <f>SUM(M126:M128)*'Assumptions-Overall'!$H$45</f>
        <v>0</v>
      </c>
      <c r="N129" s="247"/>
    </row>
    <row r="130" spans="2:14" x14ac:dyDescent="0.2">
      <c r="B130" s="4" t="s">
        <v>313</v>
      </c>
      <c r="C130" s="12"/>
      <c r="D130" s="242">
        <f>SUM(D126:D129)</f>
        <v>0</v>
      </c>
      <c r="E130" s="242">
        <f t="shared" ref="E130" si="83">SUM(E126:E129)</f>
        <v>0</v>
      </c>
      <c r="F130" s="242">
        <f t="shared" ref="F130" si="84">SUM(F126:F129)</f>
        <v>0</v>
      </c>
      <c r="G130" s="242">
        <f t="shared" ref="G130" si="85">SUM(G126:G129)</f>
        <v>0</v>
      </c>
      <c r="H130" s="242">
        <f t="shared" ref="H130" si="86">SUM(H126:H129)</f>
        <v>0</v>
      </c>
      <c r="I130" s="242">
        <f t="shared" ref="I130" si="87">SUM(I126:I129)</f>
        <v>0</v>
      </c>
      <c r="J130" s="242">
        <f t="shared" ref="J130" si="88">SUM(J126:J129)</f>
        <v>0</v>
      </c>
      <c r="K130" s="242">
        <f t="shared" ref="K130" si="89">SUM(K126:K129)</f>
        <v>0</v>
      </c>
      <c r="L130" s="242">
        <f t="shared" ref="L130" si="90">SUM(L126:L129)</f>
        <v>0</v>
      </c>
      <c r="M130" s="242">
        <f t="shared" ref="M130" si="91">SUM(M126:M129)</f>
        <v>0</v>
      </c>
      <c r="N130" s="247"/>
    </row>
    <row r="131" spans="2:14" x14ac:dyDescent="0.2">
      <c r="B131" s="4"/>
      <c r="C131" s="1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7"/>
    </row>
    <row r="132" spans="2:14" x14ac:dyDescent="0.2">
      <c r="B132" s="53" t="s">
        <v>314</v>
      </c>
      <c r="C132" s="1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7"/>
    </row>
    <row r="133" spans="2:14" x14ac:dyDescent="0.2">
      <c r="B133" s="4" t="s">
        <v>316</v>
      </c>
      <c r="C133" s="12"/>
      <c r="D133" s="242">
        <f>(D$8=YEAR('Assumptions-Overall'!$C$30))*E121/'Assumptions-Overall'!$Y$22</f>
        <v>0</v>
      </c>
      <c r="E133" s="242">
        <f>(E$8=YEAR('Assumptions-Overall'!$C$30))*F121/'Assumptions-Overall'!$Y$22</f>
        <v>0</v>
      </c>
      <c r="F133" s="242">
        <f>(F$8=YEAR('Assumptions-Overall'!$C$30))*G121/'Assumptions-Overall'!$Y$22</f>
        <v>0</v>
      </c>
      <c r="G133" s="242">
        <f>(G$8=YEAR('Assumptions-Overall'!$C$30))*H121/'Assumptions-Overall'!$Y$22</f>
        <v>0</v>
      </c>
      <c r="H133" s="242">
        <f>(H$8=YEAR('Assumptions-Overall'!$C$30))*I121/'Assumptions-Overall'!$Y$22</f>
        <v>0</v>
      </c>
      <c r="I133" s="242">
        <f>(I$8=YEAR('Assumptions-Overall'!$C$30))*J121/'Assumptions-Overall'!$Y$22</f>
        <v>0</v>
      </c>
      <c r="J133" s="242">
        <f>(J$8=YEAR('Assumptions-Overall'!$C$30))*K121/'Assumptions-Overall'!$Y$22</f>
        <v>0</v>
      </c>
      <c r="K133" s="242">
        <f>(K$8=YEAR('Assumptions-Overall'!$C$30))*L121/'Assumptions-Overall'!$Y$22</f>
        <v>0</v>
      </c>
      <c r="L133" s="242">
        <f>(L$8=YEAR('Assumptions-Overall'!$C$30))*M121/'Assumptions-Overall'!$Y$22</f>
        <v>0</v>
      </c>
      <c r="M133" s="242">
        <f>(M$8=YEAR('Assumptions-Overall'!$C$30))*N121/'Assumptions-Overall'!$Y$22</f>
        <v>0</v>
      </c>
      <c r="N133" s="247"/>
    </row>
    <row r="134" spans="2:14" x14ac:dyDescent="0.2">
      <c r="B134" s="4" t="s">
        <v>317</v>
      </c>
      <c r="C134" s="12"/>
      <c r="D134" s="240">
        <f>-D133*'Assumptions-Overall'!$U$27</f>
        <v>0</v>
      </c>
      <c r="E134" s="240">
        <f>-E133*'Assumptions-Overall'!$U$27</f>
        <v>0</v>
      </c>
      <c r="F134" s="240">
        <f>-F133*'Assumptions-Overall'!$U$27</f>
        <v>0</v>
      </c>
      <c r="G134" s="240">
        <f>-G133*'Assumptions-Overall'!$U$27</f>
        <v>0</v>
      </c>
      <c r="H134" s="240">
        <f>-H133*'Assumptions-Overall'!$U$27</f>
        <v>0</v>
      </c>
      <c r="I134" s="240">
        <f>-I133*'Assumptions-Overall'!$U$27</f>
        <v>0</v>
      </c>
      <c r="J134" s="240">
        <f>-J133*'Assumptions-Overall'!$U$27</f>
        <v>0</v>
      </c>
      <c r="K134" s="240">
        <f>-K133*'Assumptions-Overall'!$U$27</f>
        <v>0</v>
      </c>
      <c r="L134" s="240">
        <f>-L133*'Assumptions-Overall'!$U$27</f>
        <v>0</v>
      </c>
      <c r="M134" s="240">
        <f>-M133*'Assumptions-Overall'!$U$27</f>
        <v>0</v>
      </c>
      <c r="N134" s="247"/>
    </row>
    <row r="135" spans="2:14" x14ac:dyDescent="0.2">
      <c r="B135" s="4" t="s">
        <v>318</v>
      </c>
      <c r="C135" s="12"/>
      <c r="D135" s="242">
        <f>SUM(D133:D134)</f>
        <v>0</v>
      </c>
      <c r="E135" s="242">
        <f t="shared" ref="E135" si="92">SUM(E133:E134)</f>
        <v>0</v>
      </c>
      <c r="F135" s="242">
        <f t="shared" ref="F135" si="93">SUM(F133:F134)</f>
        <v>0</v>
      </c>
      <c r="G135" s="242">
        <f t="shared" ref="G135" si="94">SUM(G133:G134)</f>
        <v>0</v>
      </c>
      <c r="H135" s="242">
        <f t="shared" ref="H135" si="95">SUM(H133:H134)</f>
        <v>0</v>
      </c>
      <c r="I135" s="242">
        <f t="shared" ref="I135" si="96">SUM(I133:I134)</f>
        <v>0</v>
      </c>
      <c r="J135" s="242">
        <f t="shared" ref="J135" si="97">SUM(J133:J134)</f>
        <v>0</v>
      </c>
      <c r="K135" s="242">
        <f t="shared" ref="K135" si="98">SUM(K133:K134)</f>
        <v>0</v>
      </c>
      <c r="L135" s="242">
        <f t="shared" ref="L135" si="99">SUM(L133:L134)</f>
        <v>0</v>
      </c>
      <c r="M135" s="242">
        <f t="shared" ref="M135" si="100">SUM(M133:M134)</f>
        <v>0</v>
      </c>
      <c r="N135" s="247"/>
    </row>
    <row r="136" spans="2:14" x14ac:dyDescent="0.2">
      <c r="B136" s="4"/>
      <c r="C136" s="1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7"/>
    </row>
    <row r="137" spans="2:14" x14ac:dyDescent="0.2">
      <c r="B137" s="4" t="s">
        <v>315</v>
      </c>
      <c r="C137" s="12"/>
      <c r="D137" s="242">
        <f t="shared" ref="D137:M137" si="101">D123+D130+D135</f>
        <v>0</v>
      </c>
      <c r="E137" s="242">
        <f t="shared" si="101"/>
        <v>0</v>
      </c>
      <c r="F137" s="242">
        <f t="shared" si="101"/>
        <v>0</v>
      </c>
      <c r="G137" s="242">
        <f t="shared" si="101"/>
        <v>0</v>
      </c>
      <c r="H137" s="242">
        <f t="shared" si="101"/>
        <v>0</v>
      </c>
      <c r="I137" s="242">
        <f t="shared" si="101"/>
        <v>0</v>
      </c>
      <c r="J137" s="242">
        <f t="shared" si="101"/>
        <v>0</v>
      </c>
      <c r="K137" s="242">
        <f t="shared" si="101"/>
        <v>0</v>
      </c>
      <c r="L137" s="242">
        <f t="shared" si="101"/>
        <v>0</v>
      </c>
      <c r="M137" s="242">
        <f t="shared" si="101"/>
        <v>0</v>
      </c>
      <c r="N137" s="247"/>
    </row>
    <row r="138" spans="2:14" x14ac:dyDescent="0.2">
      <c r="B138" s="4" t="s">
        <v>320</v>
      </c>
      <c r="C138" s="254" t="str">
        <f>IFERROR(IRR(D137:M137),"n/a")</f>
        <v>n/a</v>
      </c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7"/>
    </row>
    <row r="139" spans="2:14" ht="12.75" thickBot="1" x14ac:dyDescent="0.25">
      <c r="B139" s="6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6"/>
    </row>
    <row r="140" spans="2:14" x14ac:dyDescent="0.2">
      <c r="B140" s="250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2"/>
    </row>
    <row r="141" spans="2:14" x14ac:dyDescent="0.2">
      <c r="B141" s="243" t="s">
        <v>298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3"/>
    </row>
    <row r="142" spans="2:14" x14ac:dyDescent="0.2">
      <c r="B142" s="4" t="s">
        <v>293</v>
      </c>
      <c r="C142" s="12"/>
      <c r="D142" s="244">
        <f>(D$8&gt;=YEAR(PhaseIIIComplete))*SUMIF(BuildingSummary!$R$18:$T$18,"III",BuildingSummary!$R$23:$T$23)</f>
        <v>0</v>
      </c>
      <c r="E142" s="244">
        <f>(E$8&gt;=YEAR(PhaseIIIComplete))*SUMIF(BuildingSummary!$R$18:$T$18,"III",BuildingSummary!$R$23:$T$23)</f>
        <v>0</v>
      </c>
      <c r="F142" s="244">
        <f>(F$8&gt;=YEAR(PhaseIIIComplete))*SUMIF(BuildingSummary!$R$18:$T$18,"III",BuildingSummary!$R$23:$T$23)</f>
        <v>0</v>
      </c>
      <c r="G142" s="244">
        <f>(G$8&gt;=YEAR(PhaseIIIComplete))*SUMIF(BuildingSummary!$R$18:$T$18,"III",BuildingSummary!$R$23:$T$23)</f>
        <v>0</v>
      </c>
      <c r="H142" s="244">
        <f>(H$8&gt;=YEAR(PhaseIIIComplete))*SUMIF(BuildingSummary!$R$18:$T$18,"III",BuildingSummary!$R$23:$T$23)</f>
        <v>0</v>
      </c>
      <c r="I142" s="244">
        <f>(I$8&gt;=YEAR(PhaseIIIComplete))*SUMIF(BuildingSummary!$R$18:$T$18,"III",BuildingSummary!$R$23:$T$23)</f>
        <v>0</v>
      </c>
      <c r="J142" s="244">
        <f>(J$8&gt;=YEAR(PhaseIIIComplete))*SUMIF(BuildingSummary!$R$18:$T$18,"III",BuildingSummary!$R$23:$T$23)</f>
        <v>0</v>
      </c>
      <c r="K142" s="244">
        <f>(K$8&gt;=YEAR(PhaseIIIComplete))*SUMIF(BuildingSummary!$R$18:$T$18,"III",BuildingSummary!$R$23:$T$23)</f>
        <v>0</v>
      </c>
      <c r="L142" s="244">
        <f>(L$8&gt;=YEAR(PhaseIIIComplete))*SUMIF(BuildingSummary!$R$18:$T$18,"III",BuildingSummary!$R$23:$T$23)</f>
        <v>333674</v>
      </c>
      <c r="M142" s="244">
        <f>(M$8&gt;=YEAR(PhaseIIIComplete))*SUMIF(BuildingSummary!$R$18:$T$18,"III",BuildingSummary!$R$23:$T$23)</f>
        <v>333674</v>
      </c>
      <c r="N142" s="245">
        <f>(N$8&gt;=YEAR(PhaseIIIComplete))*SUMIF(BuildingSummary!$R$18:$T$18,"III",BuildingSummary!$R$23:$T$23)</f>
        <v>333674</v>
      </c>
    </row>
    <row r="143" spans="2:14" x14ac:dyDescent="0.2">
      <c r="B143" s="4" t="s">
        <v>294</v>
      </c>
      <c r="C143" s="12"/>
      <c r="D143" s="244">
        <f>D142-C142</f>
        <v>0</v>
      </c>
      <c r="E143" s="244">
        <f t="shared" ref="E143:N143" si="102">E142-D142</f>
        <v>0</v>
      </c>
      <c r="F143" s="244">
        <f t="shared" si="102"/>
        <v>0</v>
      </c>
      <c r="G143" s="244">
        <f t="shared" si="102"/>
        <v>0</v>
      </c>
      <c r="H143" s="244">
        <f t="shared" si="102"/>
        <v>0</v>
      </c>
      <c r="I143" s="244">
        <f t="shared" si="102"/>
        <v>0</v>
      </c>
      <c r="J143" s="244">
        <f t="shared" si="102"/>
        <v>0</v>
      </c>
      <c r="K143" s="244">
        <f t="shared" si="102"/>
        <v>0</v>
      </c>
      <c r="L143" s="244">
        <f t="shared" si="102"/>
        <v>333674</v>
      </c>
      <c r="M143" s="244">
        <f t="shared" si="102"/>
        <v>0</v>
      </c>
      <c r="N143" s="245">
        <f t="shared" si="102"/>
        <v>0</v>
      </c>
    </row>
    <row r="144" spans="2:14" x14ac:dyDescent="0.2">
      <c r="B144" s="4"/>
      <c r="C144" s="12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5"/>
    </row>
    <row r="145" spans="2:14" x14ac:dyDescent="0.2">
      <c r="B145" s="53" t="s">
        <v>343</v>
      </c>
      <c r="C145" s="12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5"/>
    </row>
    <row r="146" spans="2:14" x14ac:dyDescent="0.2">
      <c r="B146" s="4" t="str">
        <f>B101</f>
        <v>Food &amp; Beverage Revenue</v>
      </c>
      <c r="C146" s="12"/>
      <c r="D146" s="244">
        <f>(D$8&gt;=YEAR(PhaseIIIComplete))*'Assumptions-Hotel'!$F9</f>
        <v>0</v>
      </c>
      <c r="E146" s="244">
        <f>(E$8&gt;=YEAR(PhaseIIIComplete))*'Assumptions-Hotel'!$F9</f>
        <v>0</v>
      </c>
      <c r="F146" s="244">
        <f>(F$8&gt;=YEAR(PhaseIIIComplete))*'Assumptions-Hotel'!$F9</f>
        <v>0</v>
      </c>
      <c r="G146" s="244">
        <f>(G$8&gt;=YEAR(PhaseIIIComplete))*'Assumptions-Hotel'!$F9</f>
        <v>0</v>
      </c>
      <c r="H146" s="244">
        <f>(H$8&gt;=YEAR(PhaseIIIComplete))*'Assumptions-Hotel'!$F9</f>
        <v>0</v>
      </c>
      <c r="I146" s="244">
        <f>(I$8&gt;=YEAR(PhaseIIIComplete))*'Assumptions-Hotel'!$F9</f>
        <v>0</v>
      </c>
      <c r="J146" s="244">
        <f>(J$8&gt;=YEAR(PhaseIIIComplete))*'Assumptions-Hotel'!$F9</f>
        <v>0</v>
      </c>
      <c r="K146" s="244">
        <f>(K$8&gt;=YEAR(PhaseIIIComplete))*'Assumptions-Hotel'!$F9</f>
        <v>0</v>
      </c>
      <c r="L146" s="244">
        <f>(L$8&gt;=YEAR(PhaseIIIComplete))*'Assumptions-Hotel'!$F9</f>
        <v>402</v>
      </c>
      <c r="M146" s="244">
        <f>(M$8&gt;=YEAR(PhaseIIIComplete))*'Assumptions-Hotel'!$F9</f>
        <v>402</v>
      </c>
      <c r="N146" s="245">
        <f>(N$8&gt;=YEAR(PhaseIIIComplete))*'Assumptions-Hotel'!$F9</f>
        <v>402</v>
      </c>
    </row>
    <row r="147" spans="2:14" x14ac:dyDescent="0.2">
      <c r="B147" s="4" t="str">
        <f>B102</f>
        <v>Food &amp; Beverage Revenue</v>
      </c>
      <c r="C147" s="12"/>
      <c r="D147" s="244">
        <f>(D$8&gt;=YEAR(PhaseIIIComplete))*'Assumptions-Hotel'!$F10</f>
        <v>0</v>
      </c>
      <c r="E147" s="244">
        <f>(E$8&gt;=YEAR(PhaseIIIComplete))*'Assumptions-Hotel'!$F10</f>
        <v>0</v>
      </c>
      <c r="F147" s="244">
        <f>(F$8&gt;=YEAR(PhaseIIIComplete))*'Assumptions-Hotel'!$F10</f>
        <v>0</v>
      </c>
      <c r="G147" s="244">
        <f>(G$8&gt;=YEAR(PhaseIIIComplete))*'Assumptions-Hotel'!$F10</f>
        <v>0</v>
      </c>
      <c r="H147" s="244">
        <f>(H$8&gt;=YEAR(PhaseIIIComplete))*'Assumptions-Hotel'!$F10</f>
        <v>0</v>
      </c>
      <c r="I147" s="244">
        <f>(I$8&gt;=YEAR(PhaseIIIComplete))*'Assumptions-Hotel'!$F10</f>
        <v>0</v>
      </c>
      <c r="J147" s="244">
        <f>(J$8&gt;=YEAR(PhaseIIIComplete))*'Assumptions-Hotel'!$F10</f>
        <v>0</v>
      </c>
      <c r="K147" s="244">
        <f>(K$8&gt;=YEAR(PhaseIIIComplete))*'Assumptions-Hotel'!$F10</f>
        <v>0</v>
      </c>
      <c r="L147" s="244">
        <f>(L$8&gt;=YEAR(PhaseIIIComplete))*'Assumptions-Hotel'!$F10</f>
        <v>250</v>
      </c>
      <c r="M147" s="244">
        <f>(M$8&gt;=YEAR(PhaseIIIComplete))*'Assumptions-Hotel'!$F10</f>
        <v>250</v>
      </c>
      <c r="N147" s="245">
        <f>(N$8&gt;=YEAR(PhaseIIIComplete))*'Assumptions-Hotel'!$F10</f>
        <v>250</v>
      </c>
    </row>
    <row r="148" spans="2:14" x14ac:dyDescent="0.2">
      <c r="B148" s="4"/>
      <c r="C148" s="12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5"/>
    </row>
    <row r="149" spans="2:14" x14ac:dyDescent="0.2">
      <c r="B149" s="53" t="s">
        <v>347</v>
      </c>
      <c r="C149" s="12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5"/>
    </row>
    <row r="150" spans="2:14" x14ac:dyDescent="0.2">
      <c r="B150" s="4" t="s">
        <v>348</v>
      </c>
      <c r="C150" s="12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5"/>
    </row>
    <row r="151" spans="2:14" x14ac:dyDescent="0.2">
      <c r="B151" s="246" t="str">
        <f>B146</f>
        <v>Food &amp; Beverage Revenue</v>
      </c>
      <c r="C151" s="12"/>
      <c r="D151" s="257">
        <f>'Assumptions-Hotel'!I8</f>
        <v>275</v>
      </c>
      <c r="E151" s="257">
        <f>D151*(1+'Assumptions-Overall'!$C$37)</f>
        <v>283.25</v>
      </c>
      <c r="F151" s="257">
        <f>E151*(1+'Assumptions-Overall'!$C$37)</f>
        <v>291.7475</v>
      </c>
      <c r="G151" s="257">
        <f>F151*(1+'Assumptions-Overall'!$C$37)</f>
        <v>300.49992500000002</v>
      </c>
      <c r="H151" s="257">
        <f>G151*(1+'Assumptions-Overall'!$C$37)</f>
        <v>309.51492275000004</v>
      </c>
      <c r="I151" s="257">
        <f>H151*(1+'Assumptions-Overall'!$C$37)</f>
        <v>318.80037043250007</v>
      </c>
      <c r="J151" s="257">
        <f>I151*(1+'Assumptions-Overall'!$C$37)</f>
        <v>328.36438154547511</v>
      </c>
      <c r="K151" s="257">
        <f>J151*(1+'Assumptions-Overall'!$C$37)</f>
        <v>338.21531299183937</v>
      </c>
      <c r="L151" s="257">
        <f>K151*(1+'Assumptions-Overall'!$C$37)</f>
        <v>348.36177238159456</v>
      </c>
      <c r="M151" s="257">
        <f>L151*(1+'Assumptions-Overall'!$C$37)</f>
        <v>358.81262555304238</v>
      </c>
      <c r="N151" s="258">
        <f>M151*(1+'Assumptions-Overall'!$C$37)</f>
        <v>369.57700431963366</v>
      </c>
    </row>
    <row r="152" spans="2:14" x14ac:dyDescent="0.2">
      <c r="B152" s="246" t="str">
        <f>B147</f>
        <v>Food &amp; Beverage Revenue</v>
      </c>
      <c r="C152" s="12"/>
      <c r="D152" s="257">
        <f>'Assumptions-Hotel'!I9</f>
        <v>235</v>
      </c>
      <c r="E152" s="257">
        <f>D152*(1+'Assumptions-Overall'!$C$37)</f>
        <v>242.05</v>
      </c>
      <c r="F152" s="257">
        <f>E152*(1+'Assumptions-Overall'!$C$37)</f>
        <v>249.31150000000002</v>
      </c>
      <c r="G152" s="257">
        <f>F152*(1+'Assumptions-Overall'!$C$37)</f>
        <v>256.79084500000005</v>
      </c>
      <c r="H152" s="257">
        <f>G152*(1+'Assumptions-Overall'!$C$37)</f>
        <v>264.49457035000006</v>
      </c>
      <c r="I152" s="257">
        <f>H152*(1+'Assumptions-Overall'!$C$37)</f>
        <v>272.42940746050004</v>
      </c>
      <c r="J152" s="257">
        <f>I152*(1+'Assumptions-Overall'!$C$37)</f>
        <v>280.60228968431505</v>
      </c>
      <c r="K152" s="257">
        <f>J152*(1+'Assumptions-Overall'!$C$37)</f>
        <v>289.02035837484453</v>
      </c>
      <c r="L152" s="257">
        <f>K152*(1+'Assumptions-Overall'!$C$37)</f>
        <v>297.6909691260899</v>
      </c>
      <c r="M152" s="257">
        <f>L152*(1+'Assumptions-Overall'!$C$37)</f>
        <v>306.62169819987258</v>
      </c>
      <c r="N152" s="258">
        <f>M152*(1+'Assumptions-Overall'!$C$37)</f>
        <v>315.82034914586876</v>
      </c>
    </row>
    <row r="153" spans="2:14" x14ac:dyDescent="0.2">
      <c r="B153" s="4" t="s">
        <v>349</v>
      </c>
      <c r="C153" s="12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5"/>
    </row>
    <row r="154" spans="2:14" x14ac:dyDescent="0.2">
      <c r="B154" s="246" t="str">
        <f>B151</f>
        <v>Food &amp; Beverage Revenue</v>
      </c>
      <c r="C154" s="12"/>
      <c r="D154" s="211">
        <f>'Assumptions-Hotel'!$J8</f>
        <v>0.85</v>
      </c>
      <c r="E154" s="211">
        <f>'Assumptions-Hotel'!$J8</f>
        <v>0.85</v>
      </c>
      <c r="F154" s="211">
        <f>'Assumptions-Hotel'!$J8</f>
        <v>0.85</v>
      </c>
      <c r="G154" s="211">
        <f>'Assumptions-Hotel'!$J8</f>
        <v>0.85</v>
      </c>
      <c r="H154" s="211">
        <f>'Assumptions-Hotel'!$J8</f>
        <v>0.85</v>
      </c>
      <c r="I154" s="211">
        <f>'Assumptions-Hotel'!$J8</f>
        <v>0.85</v>
      </c>
      <c r="J154" s="211">
        <f>'Assumptions-Hotel'!$J8</f>
        <v>0.85</v>
      </c>
      <c r="K154" s="211">
        <f>'Assumptions-Hotel'!$J8</f>
        <v>0.85</v>
      </c>
      <c r="L154" s="211">
        <f>'Assumptions-Hotel'!$J8</f>
        <v>0.85</v>
      </c>
      <c r="M154" s="211">
        <f>'Assumptions-Hotel'!$J8</f>
        <v>0.85</v>
      </c>
      <c r="N154" s="259">
        <f>'Assumptions-Hotel'!$J8</f>
        <v>0.85</v>
      </c>
    </row>
    <row r="155" spans="2:14" x14ac:dyDescent="0.2">
      <c r="B155" s="246" t="str">
        <f>B152</f>
        <v>Food &amp; Beverage Revenue</v>
      </c>
      <c r="C155" s="12"/>
      <c r="D155" s="211">
        <f>'Assumptions-Hotel'!$J9</f>
        <v>0.85</v>
      </c>
      <c r="E155" s="211">
        <f>'Assumptions-Hotel'!$J9</f>
        <v>0.85</v>
      </c>
      <c r="F155" s="211">
        <f>'Assumptions-Hotel'!$J9</f>
        <v>0.85</v>
      </c>
      <c r="G155" s="211">
        <f>'Assumptions-Hotel'!$J9</f>
        <v>0.85</v>
      </c>
      <c r="H155" s="211">
        <f>'Assumptions-Hotel'!$J9</f>
        <v>0.85</v>
      </c>
      <c r="I155" s="211">
        <f>'Assumptions-Hotel'!$J9</f>
        <v>0.85</v>
      </c>
      <c r="J155" s="211">
        <f>'Assumptions-Hotel'!$J9</f>
        <v>0.85</v>
      </c>
      <c r="K155" s="211">
        <f>'Assumptions-Hotel'!$J9</f>
        <v>0.85</v>
      </c>
      <c r="L155" s="211">
        <f>'Assumptions-Hotel'!$J9</f>
        <v>0.85</v>
      </c>
      <c r="M155" s="211">
        <f>'Assumptions-Hotel'!$J9</f>
        <v>0.85</v>
      </c>
      <c r="N155" s="259">
        <f>'Assumptions-Hotel'!$J9</f>
        <v>0.85</v>
      </c>
    </row>
    <row r="156" spans="2:14" x14ac:dyDescent="0.2">
      <c r="B156" s="4" t="s">
        <v>350</v>
      </c>
      <c r="C156" s="12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5"/>
    </row>
    <row r="157" spans="2:14" x14ac:dyDescent="0.2">
      <c r="B157" s="246" t="str">
        <f>B154</f>
        <v>Food &amp; Beverage Revenue</v>
      </c>
      <c r="C157" s="12"/>
      <c r="D157" s="257">
        <f>D151*D154</f>
        <v>233.75</v>
      </c>
      <c r="E157" s="257">
        <f>E151*E154</f>
        <v>240.76249999999999</v>
      </c>
      <c r="F157" s="257">
        <f t="shared" ref="F157:N157" si="103">F151*F154</f>
        <v>247.985375</v>
      </c>
      <c r="G157" s="257">
        <f t="shared" si="103"/>
        <v>255.42493625</v>
      </c>
      <c r="H157" s="257">
        <f t="shared" si="103"/>
        <v>263.08768433750004</v>
      </c>
      <c r="I157" s="257">
        <f t="shared" si="103"/>
        <v>270.98031486762505</v>
      </c>
      <c r="J157" s="257">
        <f t="shared" si="103"/>
        <v>279.10972431365383</v>
      </c>
      <c r="K157" s="257">
        <f t="shared" si="103"/>
        <v>287.48301604306346</v>
      </c>
      <c r="L157" s="257">
        <f t="shared" si="103"/>
        <v>296.10750652435536</v>
      </c>
      <c r="M157" s="257">
        <f t="shared" si="103"/>
        <v>304.99073172008599</v>
      </c>
      <c r="N157" s="258">
        <f t="shared" si="103"/>
        <v>314.14045367168859</v>
      </c>
    </row>
    <row r="158" spans="2:14" x14ac:dyDescent="0.2">
      <c r="B158" s="246" t="str">
        <f>B155</f>
        <v>Food &amp; Beverage Revenue</v>
      </c>
      <c r="C158" s="12"/>
      <c r="D158" s="257">
        <f>D152*D155</f>
        <v>199.75</v>
      </c>
      <c r="E158" s="257">
        <f>E152*E155</f>
        <v>205.74250000000001</v>
      </c>
      <c r="F158" s="257">
        <f t="shared" ref="F158:N158" si="104">F152*F155</f>
        <v>211.91477500000002</v>
      </c>
      <c r="G158" s="257">
        <f t="shared" si="104"/>
        <v>218.27221825000004</v>
      </c>
      <c r="H158" s="257">
        <f t="shared" si="104"/>
        <v>224.82038479750005</v>
      </c>
      <c r="I158" s="257">
        <f t="shared" si="104"/>
        <v>231.56499634142503</v>
      </c>
      <c r="J158" s="257">
        <f t="shared" si="104"/>
        <v>238.51194623166779</v>
      </c>
      <c r="K158" s="257">
        <f t="shared" si="104"/>
        <v>245.66730461861783</v>
      </c>
      <c r="L158" s="257">
        <f t="shared" si="104"/>
        <v>253.03732375717641</v>
      </c>
      <c r="M158" s="257">
        <f t="shared" si="104"/>
        <v>260.62844346989169</v>
      </c>
      <c r="N158" s="258">
        <f t="shared" si="104"/>
        <v>268.44729677398846</v>
      </c>
    </row>
    <row r="159" spans="2:14" x14ac:dyDescent="0.2">
      <c r="B159" s="4"/>
      <c r="C159" s="12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5"/>
    </row>
    <row r="160" spans="2:14" x14ac:dyDescent="0.2">
      <c r="B160" s="53" t="s">
        <v>307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3"/>
    </row>
    <row r="161" spans="2:14" x14ac:dyDescent="0.2">
      <c r="B161" s="4" t="s">
        <v>344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3"/>
    </row>
    <row r="162" spans="2:14" x14ac:dyDescent="0.2">
      <c r="B162" s="246" t="str">
        <f>B146</f>
        <v>Food &amp; Beverage Revenue</v>
      </c>
      <c r="C162" s="12"/>
      <c r="D162" s="242">
        <f>D146*D151*D$9</f>
        <v>0</v>
      </c>
      <c r="E162" s="242">
        <f t="shared" ref="E162:N162" si="105">E146*E151*E$9</f>
        <v>0</v>
      </c>
      <c r="F162" s="242">
        <f t="shared" si="105"/>
        <v>0</v>
      </c>
      <c r="G162" s="242">
        <f t="shared" si="105"/>
        <v>0</v>
      </c>
      <c r="H162" s="242">
        <f t="shared" si="105"/>
        <v>0</v>
      </c>
      <c r="I162" s="242">
        <f t="shared" si="105"/>
        <v>0</v>
      </c>
      <c r="J162" s="242">
        <f t="shared" si="105"/>
        <v>0</v>
      </c>
      <c r="K162" s="242">
        <f t="shared" si="105"/>
        <v>0</v>
      </c>
      <c r="L162" s="242">
        <f t="shared" si="105"/>
        <v>51115122.861551374</v>
      </c>
      <c r="M162" s="242">
        <f t="shared" si="105"/>
        <v>52648576.547397904</v>
      </c>
      <c r="N162" s="247">
        <f t="shared" si="105"/>
        <v>54376603.799556337</v>
      </c>
    </row>
    <row r="163" spans="2:14" x14ac:dyDescent="0.2">
      <c r="B163" s="246" t="str">
        <f>B147</f>
        <v>Food &amp; Beverage Revenue</v>
      </c>
      <c r="C163" s="12"/>
      <c r="D163" s="240">
        <f t="shared" ref="D163:N163" si="106">D147*D152*D$9</f>
        <v>0</v>
      </c>
      <c r="E163" s="240">
        <f t="shared" si="106"/>
        <v>0</v>
      </c>
      <c r="F163" s="240">
        <f t="shared" si="106"/>
        <v>0</v>
      </c>
      <c r="G163" s="240">
        <f t="shared" si="106"/>
        <v>0</v>
      </c>
      <c r="H163" s="240">
        <f t="shared" si="106"/>
        <v>0</v>
      </c>
      <c r="I163" s="240">
        <f t="shared" si="106"/>
        <v>0</v>
      </c>
      <c r="J163" s="240">
        <f t="shared" si="106"/>
        <v>0</v>
      </c>
      <c r="K163" s="240">
        <f t="shared" si="106"/>
        <v>0</v>
      </c>
      <c r="L163" s="240">
        <f t="shared" si="106"/>
        <v>27164300.932755701</v>
      </c>
      <c r="M163" s="240">
        <f t="shared" si="106"/>
        <v>27979229.960738372</v>
      </c>
      <c r="N163" s="248">
        <f t="shared" si="106"/>
        <v>28897561.946846988</v>
      </c>
    </row>
    <row r="164" spans="2:14" x14ac:dyDescent="0.2">
      <c r="B164" s="4" t="s">
        <v>346</v>
      </c>
      <c r="C164" s="12"/>
      <c r="D164" s="242">
        <f t="shared" ref="D164:N164" si="107">SUM(D162:D163)</f>
        <v>0</v>
      </c>
      <c r="E164" s="242">
        <f t="shared" si="107"/>
        <v>0</v>
      </c>
      <c r="F164" s="242">
        <f t="shared" si="107"/>
        <v>0</v>
      </c>
      <c r="G164" s="242">
        <f t="shared" si="107"/>
        <v>0</v>
      </c>
      <c r="H164" s="242">
        <f t="shared" si="107"/>
        <v>0</v>
      </c>
      <c r="I164" s="242">
        <f t="shared" si="107"/>
        <v>0</v>
      </c>
      <c r="J164" s="242">
        <f t="shared" si="107"/>
        <v>0</v>
      </c>
      <c r="K164" s="242">
        <f t="shared" si="107"/>
        <v>0</v>
      </c>
      <c r="L164" s="242">
        <f t="shared" si="107"/>
        <v>78279423.794307083</v>
      </c>
      <c r="M164" s="242">
        <f t="shared" si="107"/>
        <v>80627806.508136272</v>
      </c>
      <c r="N164" s="247">
        <f t="shared" si="107"/>
        <v>83274165.746403322</v>
      </c>
    </row>
    <row r="165" spans="2:14" x14ac:dyDescent="0.2">
      <c r="B165" s="4"/>
      <c r="C165" s="1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7"/>
    </row>
    <row r="166" spans="2:14" x14ac:dyDescent="0.2">
      <c r="B166" s="4" t="s">
        <v>352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</row>
    <row r="167" spans="2:14" x14ac:dyDescent="0.2">
      <c r="B167" s="246" t="str">
        <f>B162</f>
        <v>Food &amp; Beverage Revenue</v>
      </c>
      <c r="C167" s="12"/>
      <c r="D167" s="242">
        <f>D162*'Assumptions-Hotel'!$N$8</f>
        <v>0</v>
      </c>
      <c r="E167" s="242">
        <f>E162*'Assumptions-Hotel'!$N$8</f>
        <v>0</v>
      </c>
      <c r="F167" s="242">
        <f>F162*'Assumptions-Hotel'!$N$8</f>
        <v>0</v>
      </c>
      <c r="G167" s="242">
        <f>G162*'Assumptions-Hotel'!$N$8</f>
        <v>0</v>
      </c>
      <c r="H167" s="242">
        <f>H162*'Assumptions-Hotel'!$N$8</f>
        <v>0</v>
      </c>
      <c r="I167" s="242">
        <f>I162*'Assumptions-Hotel'!$N$8</f>
        <v>0</v>
      </c>
      <c r="J167" s="242">
        <f>J162*'Assumptions-Hotel'!$N$8</f>
        <v>0</v>
      </c>
      <c r="K167" s="242">
        <f>K162*'Assumptions-Hotel'!$N$8</f>
        <v>0</v>
      </c>
      <c r="L167" s="242">
        <f>L162*'Assumptions-Hotel'!$N$8</f>
        <v>15334536.858465411</v>
      </c>
      <c r="M167" s="242">
        <f>M162*'Assumptions-Hotel'!$N$8</f>
        <v>15794572.964219371</v>
      </c>
      <c r="N167" s="247">
        <f>N162*'Assumptions-Hotel'!$N$8</f>
        <v>16312981.1398669</v>
      </c>
    </row>
    <row r="168" spans="2:14" x14ac:dyDescent="0.2">
      <c r="B168" s="246" t="str">
        <f>B163</f>
        <v>Food &amp; Beverage Revenue</v>
      </c>
      <c r="C168" s="12"/>
      <c r="D168" s="240">
        <f>D163*'Assumptions-Hotel'!$N$8</f>
        <v>0</v>
      </c>
      <c r="E168" s="240">
        <f>E163*'Assumptions-Hotel'!$N$8</f>
        <v>0</v>
      </c>
      <c r="F168" s="240">
        <f>F163*'Assumptions-Hotel'!$N$8</f>
        <v>0</v>
      </c>
      <c r="G168" s="240">
        <f>G163*'Assumptions-Hotel'!$N$8</f>
        <v>0</v>
      </c>
      <c r="H168" s="240">
        <f>H163*'Assumptions-Hotel'!$N$8</f>
        <v>0</v>
      </c>
      <c r="I168" s="240">
        <f>I163*'Assumptions-Hotel'!$N$8</f>
        <v>0</v>
      </c>
      <c r="J168" s="240">
        <f>J163*'Assumptions-Hotel'!$N$8</f>
        <v>0</v>
      </c>
      <c r="K168" s="240">
        <f>K163*'Assumptions-Hotel'!$N$8</f>
        <v>0</v>
      </c>
      <c r="L168" s="240">
        <f>L163*'Assumptions-Hotel'!$N$8</f>
        <v>8149290.27982671</v>
      </c>
      <c r="M168" s="240">
        <f>M163*'Assumptions-Hotel'!$N$8</f>
        <v>8393768.9882215112</v>
      </c>
      <c r="N168" s="248">
        <f>N163*'Assumptions-Hotel'!$N$8</f>
        <v>8669268.5840540957</v>
      </c>
    </row>
    <row r="169" spans="2:14" x14ac:dyDescent="0.2">
      <c r="B169" s="4" t="s">
        <v>353</v>
      </c>
      <c r="C169" s="12"/>
      <c r="D169" s="242">
        <f t="shared" ref="D169:N169" si="108">SUM(D167:D168)</f>
        <v>0</v>
      </c>
      <c r="E169" s="242">
        <f t="shared" si="108"/>
        <v>0</v>
      </c>
      <c r="F169" s="242">
        <f t="shared" si="108"/>
        <v>0</v>
      </c>
      <c r="G169" s="242">
        <f t="shared" si="108"/>
        <v>0</v>
      </c>
      <c r="H169" s="242">
        <f t="shared" si="108"/>
        <v>0</v>
      </c>
      <c r="I169" s="242">
        <f t="shared" si="108"/>
        <v>0</v>
      </c>
      <c r="J169" s="242">
        <f t="shared" si="108"/>
        <v>0</v>
      </c>
      <c r="K169" s="242">
        <f t="shared" si="108"/>
        <v>0</v>
      </c>
      <c r="L169" s="242">
        <f t="shared" si="108"/>
        <v>23483827.138292119</v>
      </c>
      <c r="M169" s="242">
        <f t="shared" si="108"/>
        <v>24188341.95244088</v>
      </c>
      <c r="N169" s="247">
        <f t="shared" si="108"/>
        <v>24982249.723920994</v>
      </c>
    </row>
    <row r="170" spans="2:14" x14ac:dyDescent="0.2">
      <c r="B170" s="4"/>
      <c r="C170" s="1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7"/>
    </row>
    <row r="171" spans="2:14" x14ac:dyDescent="0.2">
      <c r="B171" s="4" t="s">
        <v>354</v>
      </c>
      <c r="C171" s="1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7"/>
    </row>
    <row r="172" spans="2:14" x14ac:dyDescent="0.2">
      <c r="B172" s="246" t="str">
        <f>B167</f>
        <v>Food &amp; Beverage Revenue</v>
      </c>
      <c r="C172" s="12"/>
      <c r="D172" s="242">
        <f>D162*'Assumptions-Hotel'!$N$9</f>
        <v>0</v>
      </c>
      <c r="E172" s="242">
        <f>E162*'Assumptions-Hotel'!$N$9</f>
        <v>0</v>
      </c>
      <c r="F172" s="242">
        <f>F162*'Assumptions-Hotel'!$N$9</f>
        <v>0</v>
      </c>
      <c r="G172" s="242">
        <f>G162*'Assumptions-Hotel'!$N$9</f>
        <v>0</v>
      </c>
      <c r="H172" s="242">
        <f>H162*'Assumptions-Hotel'!$N$9</f>
        <v>0</v>
      </c>
      <c r="I172" s="242">
        <f>I162*'Assumptions-Hotel'!$N$9</f>
        <v>0</v>
      </c>
      <c r="J172" s="242">
        <f>J162*'Assumptions-Hotel'!$N$9</f>
        <v>0</v>
      </c>
      <c r="K172" s="242">
        <f>K162*'Assumptions-Hotel'!$N$9</f>
        <v>0</v>
      </c>
      <c r="L172" s="242">
        <f>L162*'Assumptions-Hotel'!$N$9</f>
        <v>2555756.1430775691</v>
      </c>
      <c r="M172" s="242">
        <f>M162*'Assumptions-Hotel'!$N$9</f>
        <v>2632428.8273698953</v>
      </c>
      <c r="N172" s="247">
        <f>N162*'Assumptions-Hotel'!$N$9</f>
        <v>2718830.1899778172</v>
      </c>
    </row>
    <row r="173" spans="2:14" x14ac:dyDescent="0.2">
      <c r="B173" s="246" t="str">
        <f>B168</f>
        <v>Food &amp; Beverage Revenue</v>
      </c>
      <c r="C173" s="12"/>
      <c r="D173" s="240">
        <f>D163*'Assumptions-Hotel'!$N$9</f>
        <v>0</v>
      </c>
      <c r="E173" s="240">
        <f>E163*'Assumptions-Hotel'!$N$9</f>
        <v>0</v>
      </c>
      <c r="F173" s="240">
        <f>F163*'Assumptions-Hotel'!$N$9</f>
        <v>0</v>
      </c>
      <c r="G173" s="240">
        <f>G163*'Assumptions-Hotel'!$N$9</f>
        <v>0</v>
      </c>
      <c r="H173" s="240">
        <f>H163*'Assumptions-Hotel'!$N$9</f>
        <v>0</v>
      </c>
      <c r="I173" s="240">
        <f>I163*'Assumptions-Hotel'!$N$9</f>
        <v>0</v>
      </c>
      <c r="J173" s="240">
        <f>J163*'Assumptions-Hotel'!$N$9</f>
        <v>0</v>
      </c>
      <c r="K173" s="240">
        <f>K163*'Assumptions-Hotel'!$N$9</f>
        <v>0</v>
      </c>
      <c r="L173" s="240">
        <f>L163*'Assumptions-Hotel'!$N$9</f>
        <v>1358215.0466377852</v>
      </c>
      <c r="M173" s="240">
        <f>M163*'Assumptions-Hotel'!$N$9</f>
        <v>1398961.4980369187</v>
      </c>
      <c r="N173" s="248">
        <f>N163*'Assumptions-Hotel'!$N$9</f>
        <v>1444878.0973423496</v>
      </c>
    </row>
    <row r="174" spans="2:14" x14ac:dyDescent="0.2">
      <c r="B174" s="4" t="s">
        <v>358</v>
      </c>
      <c r="C174" s="12"/>
      <c r="D174" s="242">
        <f t="shared" ref="D174:N174" si="109">SUM(D172:D173)</f>
        <v>0</v>
      </c>
      <c r="E174" s="242">
        <f t="shared" si="109"/>
        <v>0</v>
      </c>
      <c r="F174" s="242">
        <f t="shared" si="109"/>
        <v>0</v>
      </c>
      <c r="G174" s="242">
        <f t="shared" si="109"/>
        <v>0</v>
      </c>
      <c r="H174" s="242">
        <f t="shared" si="109"/>
        <v>0</v>
      </c>
      <c r="I174" s="242">
        <f t="shared" si="109"/>
        <v>0</v>
      </c>
      <c r="J174" s="242">
        <f t="shared" si="109"/>
        <v>0</v>
      </c>
      <c r="K174" s="242">
        <f t="shared" si="109"/>
        <v>0</v>
      </c>
      <c r="L174" s="242">
        <f t="shared" si="109"/>
        <v>3913971.1897153542</v>
      </c>
      <c r="M174" s="242">
        <f t="shared" si="109"/>
        <v>4031390.325406814</v>
      </c>
      <c r="N174" s="247">
        <f t="shared" si="109"/>
        <v>4163708.2873201668</v>
      </c>
    </row>
    <row r="175" spans="2:14" x14ac:dyDescent="0.2">
      <c r="B175" s="4"/>
      <c r="C175" s="12"/>
      <c r="D175" s="242"/>
      <c r="E175" s="242"/>
      <c r="F175" s="242"/>
      <c r="G175" s="242"/>
      <c r="H175" s="211"/>
      <c r="I175" s="242"/>
      <c r="J175" s="242"/>
      <c r="K175" s="242"/>
      <c r="L175" s="242"/>
      <c r="M175" s="242"/>
      <c r="N175" s="247"/>
    </row>
    <row r="176" spans="2:14" x14ac:dyDescent="0.2">
      <c r="B176" s="4" t="s">
        <v>355</v>
      </c>
      <c r="C176" s="12"/>
      <c r="D176" s="241">
        <f t="shared" ref="D176:N176" si="110">D164+D169+D174</f>
        <v>0</v>
      </c>
      <c r="E176" s="241">
        <f t="shared" si="110"/>
        <v>0</v>
      </c>
      <c r="F176" s="241">
        <f t="shared" si="110"/>
        <v>0</v>
      </c>
      <c r="G176" s="241">
        <f t="shared" si="110"/>
        <v>0</v>
      </c>
      <c r="H176" s="241">
        <f t="shared" si="110"/>
        <v>0</v>
      </c>
      <c r="I176" s="241">
        <f t="shared" si="110"/>
        <v>0</v>
      </c>
      <c r="J176" s="241">
        <f t="shared" si="110"/>
        <v>0</v>
      </c>
      <c r="K176" s="241">
        <f t="shared" si="110"/>
        <v>0</v>
      </c>
      <c r="L176" s="241">
        <f t="shared" si="110"/>
        <v>105677222.12231456</v>
      </c>
      <c r="M176" s="241">
        <f t="shared" si="110"/>
        <v>108847538.78598398</v>
      </c>
      <c r="N176" s="249">
        <f t="shared" si="110"/>
        <v>112420123.75764447</v>
      </c>
    </row>
    <row r="177" spans="2:14" x14ac:dyDescent="0.2">
      <c r="B177" s="4"/>
      <c r="C177" s="1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7"/>
    </row>
    <row r="178" spans="2:14" x14ac:dyDescent="0.2">
      <c r="B178" s="4" t="s">
        <v>207</v>
      </c>
      <c r="C178" s="12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7"/>
    </row>
    <row r="179" spans="2:14" x14ac:dyDescent="0.2">
      <c r="B179" s="246" t="s">
        <v>357</v>
      </c>
      <c r="C179" s="12"/>
      <c r="D179" s="242">
        <f>-SUM(D146:D147)*'Assumptions-Hotel'!$N$16*(1+'Assumptions-Overall'!$C$39)^('CashFlow-Hotel'!D$7-1)</f>
        <v>0</v>
      </c>
      <c r="E179" s="242">
        <f>-SUM(E146:E147)*'Assumptions-Hotel'!$N$16*(1+'Assumptions-Overall'!$C$39)^('CashFlow-Hotel'!E$7-1)</f>
        <v>0</v>
      </c>
      <c r="F179" s="242">
        <f>-SUM(F146:F147)*'Assumptions-Hotel'!$N$16*(1+'Assumptions-Overall'!$C$39)^('CashFlow-Hotel'!F$7-1)</f>
        <v>0</v>
      </c>
      <c r="G179" s="242">
        <f>-SUM(G146:G147)*'Assumptions-Hotel'!$N$16*(1+'Assumptions-Overall'!$C$39)^('CashFlow-Hotel'!G$7-1)</f>
        <v>0</v>
      </c>
      <c r="H179" s="242">
        <f>-SUM(H146:H147)*'Assumptions-Hotel'!$N$16*(1+'Assumptions-Overall'!$C$39)^('CashFlow-Hotel'!H$7-1)</f>
        <v>0</v>
      </c>
      <c r="I179" s="242">
        <f>-SUM(I146:I147)*'Assumptions-Hotel'!$N$16*(1+'Assumptions-Overall'!$C$39)^('CashFlow-Hotel'!I$7-1)</f>
        <v>0</v>
      </c>
      <c r="J179" s="242">
        <f>-SUM(J146:J147)*'Assumptions-Hotel'!$N$16*(1+'Assumptions-Overall'!$C$39)^('CashFlow-Hotel'!J$7-1)</f>
        <v>0</v>
      </c>
      <c r="K179" s="242">
        <f>-SUM(K146:K147)*'Assumptions-Hotel'!$N$16*(1+'Assumptions-Overall'!$C$39)^('CashFlow-Hotel'!K$7-1)</f>
        <v>0</v>
      </c>
      <c r="L179" s="242">
        <f>-SUM(L146:L147)*'Assumptions-Hotel'!$N$16*(1+'Assumptions-Overall'!$C$39)^('CashFlow-Hotel'!L$7-1)</f>
        <v>-49556045.583883539</v>
      </c>
      <c r="M179" s="242">
        <f>-SUM(M146:M147)*'Assumptions-Hotel'!$N$16*(1+'Assumptions-Overall'!$C$39)^('CashFlow-Hotel'!M$7-1)</f>
        <v>-51042726.951400042</v>
      </c>
      <c r="N179" s="247">
        <f>-SUM(N146:N147)*'Assumptions-Hotel'!$N$16*(1+'Assumptions-Overall'!$C$39)^('CashFlow-Hotel'!N$7-1)</f>
        <v>-52574008.759942047</v>
      </c>
    </row>
    <row r="180" spans="2:14" x14ac:dyDescent="0.2">
      <c r="B180" s="246" t="s">
        <v>356</v>
      </c>
      <c r="C180" s="12"/>
      <c r="D180" s="242">
        <f>-D169*(1-'Assumptions-Hotel'!$N12)</f>
        <v>0</v>
      </c>
      <c r="E180" s="242">
        <f>-E169*(1-'Assumptions-Hotel'!$N12)</f>
        <v>0</v>
      </c>
      <c r="F180" s="242">
        <f>-F169*(1-'Assumptions-Hotel'!$N12)</f>
        <v>0</v>
      </c>
      <c r="G180" s="242">
        <f>-G169*(1-'Assumptions-Hotel'!$N12)</f>
        <v>0</v>
      </c>
      <c r="H180" s="242">
        <f>-H169*(1-'Assumptions-Hotel'!$N12)</f>
        <v>0</v>
      </c>
      <c r="I180" s="242">
        <f>-I169*(1-'Assumptions-Hotel'!$N12)</f>
        <v>0</v>
      </c>
      <c r="J180" s="242">
        <f>-J169*(1-'Assumptions-Hotel'!$N12)</f>
        <v>0</v>
      </c>
      <c r="K180" s="242">
        <f>-K169*(1-'Assumptions-Hotel'!$N12)</f>
        <v>0</v>
      </c>
      <c r="L180" s="242">
        <f>-L169*(1-'Assumptions-Hotel'!$N12)</f>
        <v>-16438678.996804481</v>
      </c>
      <c r="M180" s="242">
        <f>-M169*(1-'Assumptions-Hotel'!$N12)</f>
        <v>-16931839.366708614</v>
      </c>
      <c r="N180" s="247">
        <f>-N169*(1-'Assumptions-Hotel'!$N12)</f>
        <v>-17487574.806744695</v>
      </c>
    </row>
    <row r="181" spans="2:14" x14ac:dyDescent="0.2">
      <c r="B181" s="246" t="s">
        <v>354</v>
      </c>
      <c r="C181" s="12"/>
      <c r="D181" s="240">
        <f>-D174*(1-'Assumptions-Hotel'!$N13)</f>
        <v>0</v>
      </c>
      <c r="E181" s="240">
        <f>-E174*(1-'Assumptions-Hotel'!$N13)</f>
        <v>0</v>
      </c>
      <c r="F181" s="240">
        <f>-F174*(1-'Assumptions-Hotel'!$N13)</f>
        <v>0</v>
      </c>
      <c r="G181" s="240">
        <f>-G174*(1-'Assumptions-Hotel'!$N13)</f>
        <v>0</v>
      </c>
      <c r="H181" s="240">
        <f>-H174*(1-'Assumptions-Hotel'!$N13)</f>
        <v>0</v>
      </c>
      <c r="I181" s="240">
        <f>-I174*(1-'Assumptions-Hotel'!$N13)</f>
        <v>0</v>
      </c>
      <c r="J181" s="240">
        <f>-J174*(1-'Assumptions-Hotel'!$N13)</f>
        <v>0</v>
      </c>
      <c r="K181" s="240">
        <f>-K174*(1-'Assumptions-Hotel'!$N13)</f>
        <v>0</v>
      </c>
      <c r="L181" s="240">
        <f>-L174*(1-'Assumptions-Hotel'!$N13)</f>
        <v>-3522574.0707438188</v>
      </c>
      <c r="M181" s="240">
        <f>-M174*(1-'Assumptions-Hotel'!$N13)</f>
        <v>-3628251.2928661327</v>
      </c>
      <c r="N181" s="248">
        <f>-N174*(1-'Assumptions-Hotel'!$N13)</f>
        <v>-3747337.4585881503</v>
      </c>
    </row>
    <row r="182" spans="2:14" x14ac:dyDescent="0.2">
      <c r="B182" s="4" t="s">
        <v>308</v>
      </c>
      <c r="C182" s="12"/>
      <c r="D182" s="242">
        <f>SUM(D179:D181)</f>
        <v>0</v>
      </c>
      <c r="E182" s="242">
        <f t="shared" ref="E182:N182" si="111">SUM(E179:E181)</f>
        <v>0</v>
      </c>
      <c r="F182" s="242">
        <f t="shared" si="111"/>
        <v>0</v>
      </c>
      <c r="G182" s="242">
        <f t="shared" si="111"/>
        <v>0</v>
      </c>
      <c r="H182" s="242">
        <f t="shared" si="111"/>
        <v>0</v>
      </c>
      <c r="I182" s="242">
        <f t="shared" si="111"/>
        <v>0</v>
      </c>
      <c r="J182" s="242">
        <f t="shared" si="111"/>
        <v>0</v>
      </c>
      <c r="K182" s="242">
        <f t="shared" si="111"/>
        <v>0</v>
      </c>
      <c r="L182" s="242">
        <f t="shared" si="111"/>
        <v>-69517298.651431844</v>
      </c>
      <c r="M182" s="242">
        <f t="shared" si="111"/>
        <v>-71602817.610974774</v>
      </c>
      <c r="N182" s="247">
        <f t="shared" si="111"/>
        <v>-73808921.025274903</v>
      </c>
    </row>
    <row r="183" spans="2:14" x14ac:dyDescent="0.2">
      <c r="B183" s="4"/>
      <c r="C183" s="1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7"/>
    </row>
    <row r="184" spans="2:14" x14ac:dyDescent="0.2">
      <c r="B184" s="4" t="s">
        <v>283</v>
      </c>
      <c r="C184" s="12"/>
      <c r="D184" s="242">
        <f>-SUM(D146:D147)*'Assumptions-Hotel'!$N$17*(1+'Assumptions-Overall'!$C$40)^('CashFlow-Hotel'!D$7-1)</f>
        <v>0</v>
      </c>
      <c r="E184" s="242">
        <f>-SUM(E146:E147)*'Assumptions-Hotel'!$N$17*(1+'Assumptions-Overall'!$C$40)^('CashFlow-Hotel'!E$7-1)</f>
        <v>0</v>
      </c>
      <c r="F184" s="242">
        <f>-SUM(F146:F147)*'Assumptions-Hotel'!$N$17*(1+'Assumptions-Overall'!$C$40)^('CashFlow-Hotel'!F$7-1)</f>
        <v>0</v>
      </c>
      <c r="G184" s="242">
        <f>-SUM(G146:G147)*'Assumptions-Hotel'!$N$17*(1+'Assumptions-Overall'!$C$40)^('CashFlow-Hotel'!G$7-1)</f>
        <v>0</v>
      </c>
      <c r="H184" s="242">
        <f>-SUM(H146:H147)*'Assumptions-Hotel'!$N$17*(1+'Assumptions-Overall'!$C$40)^('CashFlow-Hotel'!H$7-1)</f>
        <v>0</v>
      </c>
      <c r="I184" s="242">
        <f>-SUM(I146:I147)*'Assumptions-Hotel'!$N$17*(1+'Assumptions-Overall'!$C$40)^('CashFlow-Hotel'!I$7-1)</f>
        <v>0</v>
      </c>
      <c r="J184" s="242">
        <f>-SUM(J146:J147)*'Assumptions-Hotel'!$N$17*(1+'Assumptions-Overall'!$C$40)^('CashFlow-Hotel'!J$7-1)</f>
        <v>0</v>
      </c>
      <c r="K184" s="242">
        <f>-SUM(K146:K147)*'Assumptions-Hotel'!$N$17*(1+'Assumptions-Overall'!$C$40)^('CashFlow-Hotel'!K$7-1)</f>
        <v>0</v>
      </c>
      <c r="L184" s="242">
        <f>-SUM(L146:L147)*'Assumptions-Hotel'!$N$17*(1+'Assumptions-Overall'!$C$40)^('CashFlow-Hotel'!L$7-1)</f>
        <v>-8259340.9306472559</v>
      </c>
      <c r="M184" s="242">
        <f>-SUM(M146:M147)*'Assumptions-Hotel'!$N$17*(1+'Assumptions-Overall'!$C$40)^('CashFlow-Hotel'!M$7-1)</f>
        <v>-8507121.1585666742</v>
      </c>
      <c r="N184" s="247">
        <f>-SUM(N146:N147)*'Assumptions-Hotel'!$N$17*(1+'Assumptions-Overall'!$C$40)^('CashFlow-Hotel'!N$7-1)</f>
        <v>-8762334.7933236733</v>
      </c>
    </row>
    <row r="185" spans="2:14" x14ac:dyDescent="0.2">
      <c r="B185" s="4"/>
      <c r="C185" s="1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7"/>
    </row>
    <row r="186" spans="2:14" x14ac:dyDescent="0.2">
      <c r="B186" s="4" t="s">
        <v>310</v>
      </c>
      <c r="C186" s="12"/>
      <c r="D186" s="241">
        <f>SUM(D176)+D182+D184</f>
        <v>0</v>
      </c>
      <c r="E186" s="241">
        <f t="shared" ref="E186:N186" si="112">SUM(E176)+E182+E184</f>
        <v>0</v>
      </c>
      <c r="F186" s="241">
        <f t="shared" si="112"/>
        <v>0</v>
      </c>
      <c r="G186" s="241">
        <f t="shared" si="112"/>
        <v>0</v>
      </c>
      <c r="H186" s="241">
        <f t="shared" si="112"/>
        <v>0</v>
      </c>
      <c r="I186" s="241">
        <f t="shared" si="112"/>
        <v>0</v>
      </c>
      <c r="J186" s="241">
        <f t="shared" si="112"/>
        <v>0</v>
      </c>
      <c r="K186" s="241">
        <f t="shared" si="112"/>
        <v>0</v>
      </c>
      <c r="L186" s="241">
        <f>SUM(L176)+L182+L184</f>
        <v>27900582.54023546</v>
      </c>
      <c r="M186" s="241">
        <f t="shared" si="112"/>
        <v>28737600.01644253</v>
      </c>
      <c r="N186" s="249">
        <f t="shared" si="112"/>
        <v>29848867.939045899</v>
      </c>
    </row>
    <row r="187" spans="2:14" x14ac:dyDescent="0.2">
      <c r="B187" s="4"/>
      <c r="C187" s="1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55"/>
    </row>
    <row r="188" spans="2:14" x14ac:dyDescent="0.2">
      <c r="B188" s="4" t="s">
        <v>309</v>
      </c>
      <c r="C188" s="12"/>
      <c r="D188" s="241">
        <f t="shared" ref="D188:M188" si="113">SUM(D186:D187)</f>
        <v>0</v>
      </c>
      <c r="E188" s="241">
        <f t="shared" si="113"/>
        <v>0</v>
      </c>
      <c r="F188" s="241">
        <f t="shared" si="113"/>
        <v>0</v>
      </c>
      <c r="G188" s="241">
        <f t="shared" si="113"/>
        <v>0</v>
      </c>
      <c r="H188" s="241">
        <f t="shared" si="113"/>
        <v>0</v>
      </c>
      <c r="I188" s="241">
        <f t="shared" si="113"/>
        <v>0</v>
      </c>
      <c r="J188" s="241">
        <f t="shared" si="113"/>
        <v>0</v>
      </c>
      <c r="K188" s="241">
        <f t="shared" si="113"/>
        <v>0</v>
      </c>
      <c r="L188" s="241">
        <f t="shared" si="113"/>
        <v>27900582.54023546</v>
      </c>
      <c r="M188" s="241">
        <f t="shared" si="113"/>
        <v>28737600.01644253</v>
      </c>
      <c r="N188" s="247"/>
    </row>
    <row r="189" spans="2:14" x14ac:dyDescent="0.2">
      <c r="B189" s="4"/>
      <c r="C189" s="1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7"/>
    </row>
    <row r="190" spans="2:14" x14ac:dyDescent="0.2">
      <c r="B190" s="53" t="s">
        <v>209</v>
      </c>
      <c r="C190" s="1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7"/>
    </row>
    <row r="191" spans="2:14" x14ac:dyDescent="0.2">
      <c r="B191" s="4" t="s">
        <v>311</v>
      </c>
      <c r="C191" s="12"/>
      <c r="D191" s="242">
        <f>-(AND(D$8&gt;=YEAR(PhaseIIIConBegin),D$8&lt;=YEAR(PhaseIIIConEnd)))*SUM($D143:$N143)*SUM('Assumptions-Overall'!$M$28:$M$29)*(1+'Assumptions-Overall'!$C$41)^('CashFlow-Hotel'!D$7-1)/(YEAR(PhaseIIIConEnd)-YEAR(PhaseIIIConBegin)+1)</f>
        <v>0</v>
      </c>
      <c r="E191" s="242">
        <f>-(AND(E$8&gt;=YEAR(PhaseIIIConBegin),E$8&lt;=YEAR(PhaseIIIConEnd)))*SUM($D143:$N143)*SUM('Assumptions-Overall'!$M$28:$M$29)*(1+'Assumptions-Overall'!$C$41)^('CashFlow-Hotel'!E$7-1)/(YEAR(PhaseIIIConEnd)-YEAR(PhaseIIIConBegin)+1)</f>
        <v>0</v>
      </c>
      <c r="F191" s="242">
        <f>-(AND(F$8&gt;=YEAR(PhaseIIIConBegin),F$8&lt;=YEAR(PhaseIIIConEnd)))*SUM($D143:$N143)*SUM('Assumptions-Overall'!$M$28:$M$29)*(1+'Assumptions-Overall'!$C$41)^('CashFlow-Hotel'!F$7-1)/(YEAR(PhaseIIIConEnd)-YEAR(PhaseIIIConBegin)+1)</f>
        <v>0</v>
      </c>
      <c r="G191" s="242">
        <f>-(AND(G$8&gt;=YEAR(PhaseIIIConBegin),G$8&lt;=YEAR(PhaseIIIConEnd)))*SUM($D143:$N143)*SUM('Assumptions-Overall'!$M$28:$M$29)*(1+'Assumptions-Overall'!$C$41)^('CashFlow-Hotel'!G$7-1)/(YEAR(PhaseIIIConEnd)-YEAR(PhaseIIIConBegin)+1)</f>
        <v>0</v>
      </c>
      <c r="H191" s="242">
        <f>-(AND(H$8&gt;=YEAR(PhaseIIIConBegin),H$8&lt;=YEAR(PhaseIIIConEnd)))*SUM($D143:$N143)*SUM('Assumptions-Overall'!$M$28:$M$29)*(1+'Assumptions-Overall'!$C$41)^('CashFlow-Hotel'!H$7-1)/(YEAR(PhaseIIIConEnd)-YEAR(PhaseIIIConBegin)+1)</f>
        <v>0</v>
      </c>
      <c r="I191" s="242">
        <f>-(AND(I$8&gt;=YEAR(PhaseIIIConBegin),I$8&lt;=YEAR(PhaseIIIConEnd)))*SUM($D143:$N143)*SUM('Assumptions-Overall'!$M$28:$M$29)*(1+'Assumptions-Overall'!$C$41)^('CashFlow-Hotel'!I$7-1)/(YEAR(PhaseIIIConEnd)-YEAR(PhaseIIIConBegin)+1)</f>
        <v>0</v>
      </c>
      <c r="J191" s="242">
        <f>-(AND(J$8&gt;=YEAR(PhaseIIIConBegin),J$8&lt;=YEAR(PhaseIIIConEnd)))*SUM($D143:$N143)*SUM('Assumptions-Overall'!$M$28:$M$29)*(1+'Assumptions-Overall'!$C$41)^('CashFlow-Hotel'!J$7-1)/(YEAR(PhaseIIIConEnd)-YEAR(PhaseIIIConBegin)+1)</f>
        <v>-74704538.623503283</v>
      </c>
      <c r="K191" s="242">
        <f>-(AND(K$8&gt;=YEAR(PhaseIIIConBegin),K$8&lt;=YEAR(PhaseIIIConEnd)))*SUM($D143:$N143)*SUM('Assumptions-Overall'!$M$28:$M$29)*(1+'Assumptions-Overall'!$C$41)^('CashFlow-Hotel'!K$7-1)/(YEAR(PhaseIIIConEnd)-YEAR(PhaseIIIConBegin)+1)</f>
        <v>-76945674.782208383</v>
      </c>
      <c r="L191" s="242">
        <f>-(AND(L$8&gt;=YEAR(PhaseIIIConBegin),L$8&lt;=YEAR(PhaseIIIConEnd)))*SUM($D143:$N143)*SUM('Assumptions-Overall'!$M$28:$M$29)*(1+'Assumptions-Overall'!$C$41)^('CashFlow-Hotel'!L$7-1)/(YEAR(PhaseIIIConEnd)-YEAR(PhaseIIIConBegin)+1)</f>
        <v>0</v>
      </c>
      <c r="M191" s="242">
        <f>-(AND(M$8&gt;=YEAR(PhaseIIIConBegin),M$8&lt;=YEAR(PhaseIIIConEnd)))*SUM($D143:$N143)*SUM('Assumptions-Overall'!$M$28:$M$29)*(1+'Assumptions-Overall'!$C$41)^('CashFlow-Hotel'!M$7-1)/(YEAR(PhaseIIIConEnd)-YEAR(PhaseIIIConBegin)+1)</f>
        <v>0</v>
      </c>
      <c r="N191" s="247"/>
    </row>
    <row r="192" spans="2:14" x14ac:dyDescent="0.2">
      <c r="B192" s="4" t="s">
        <v>312</v>
      </c>
      <c r="C192" s="12"/>
      <c r="D192" s="242">
        <f>(AND(D$8&gt;=YEAR(PhaseIIIPreconBegin),D$8&lt;=YEAR(PhaseIIIConEnd)))*SUM($D191:$N191)*'Assumptions-Overall'!$H$43/(YEAR(PhaseIIIConEnd)-YEAR(PhaseIIIPreconBegin)+1)</f>
        <v>0</v>
      </c>
      <c r="E192" s="242">
        <f>(AND(E$8&gt;=YEAR(PhaseIIIPreconBegin),E$8&lt;=YEAR(PhaseIIIConEnd)))*SUM($D191:$N191)*'Assumptions-Overall'!$H$43/(YEAR(PhaseIIIConEnd)-YEAR(PhaseIIIPreconBegin)+1)</f>
        <v>0</v>
      </c>
      <c r="F192" s="242">
        <f>(AND(F$8&gt;=YEAR(PhaseIIIPreconBegin),F$8&lt;=YEAR(PhaseIIIConEnd)))*SUM($D191:$N191)*'Assumptions-Overall'!$H$43/(YEAR(PhaseIIIConEnd)-YEAR(PhaseIIIPreconBegin)+1)</f>
        <v>0</v>
      </c>
      <c r="G192" s="242">
        <f>(AND(G$8&gt;=YEAR(PhaseIIIPreconBegin),G$8&lt;=YEAR(PhaseIIIConEnd)))*SUM($D191:$N191)*'Assumptions-Overall'!$H$43/(YEAR(PhaseIIIConEnd)-YEAR(PhaseIIIPreconBegin)+1)</f>
        <v>0</v>
      </c>
      <c r="H192" s="242">
        <f>(AND(H$8&gt;=YEAR(PhaseIIIPreconBegin),H$8&lt;=YEAR(PhaseIIIConEnd)))*SUM($D191:$N191)*'Assumptions-Overall'!$H$43/(YEAR(PhaseIIIConEnd)-YEAR(PhaseIIIPreconBegin)+1)</f>
        <v>-2274753.2010856746</v>
      </c>
      <c r="I192" s="242">
        <f>(AND(I$8&gt;=YEAR(PhaseIIIPreconBegin),I$8&lt;=YEAR(PhaseIIIConEnd)))*SUM($D191:$N191)*'Assumptions-Overall'!$H$43/(YEAR(PhaseIIIConEnd)-YEAR(PhaseIIIPreconBegin)+1)</f>
        <v>-2274753.2010856746</v>
      </c>
      <c r="J192" s="242">
        <f>(AND(J$8&gt;=YEAR(PhaseIIIPreconBegin),J$8&lt;=YEAR(PhaseIIIConEnd)))*SUM($D191:$N191)*'Assumptions-Overall'!$H$43/(YEAR(PhaseIIIConEnd)-YEAR(PhaseIIIPreconBegin)+1)</f>
        <v>-2274753.2010856746</v>
      </c>
      <c r="K192" s="242">
        <f>(AND(K$8&gt;=YEAR(PhaseIIIPreconBegin),K$8&lt;=YEAR(PhaseIIIConEnd)))*SUM($D191:$N191)*'Assumptions-Overall'!$H$43/(YEAR(PhaseIIIConEnd)-YEAR(PhaseIIIPreconBegin)+1)</f>
        <v>-2274753.2010856746</v>
      </c>
      <c r="L192" s="242">
        <f>(AND(L$8&gt;=YEAR(PhaseIIIPreconBegin),L$8&lt;=YEAR(PhaseIIIConEnd)))*SUM($D191:$N191)*'Assumptions-Overall'!$H$43/(YEAR(PhaseIIIConEnd)-YEAR(PhaseIIIPreconBegin)+1)</f>
        <v>0</v>
      </c>
      <c r="M192" s="242">
        <f>(AND(M$8&gt;=YEAR(PhaseIIIPreconBegin),M$8&lt;=YEAR(PhaseIIIConEnd)))*SUM($D191:$N191)*'Assumptions-Overall'!$H$43/(YEAR(PhaseIIIConEnd)-YEAR(PhaseIIIPreconBegin)+1)</f>
        <v>0</v>
      </c>
      <c r="N192" s="247"/>
    </row>
    <row r="193" spans="2:14" x14ac:dyDescent="0.2">
      <c r="B193" s="4" t="s">
        <v>183</v>
      </c>
      <c r="C193" s="12"/>
      <c r="D193" s="242">
        <f>(AND(D$8&gt;=YEAR(PhaseIIIPreconBegin),D$8&lt;=YEAR(PhaseIIIConEnd)))*SUM($D191:$N191)*'Assumptions-Overall'!$H$44/(YEAR(PhaseIIIConEnd)-YEAR(PhaseIIIPreconBegin)+1)</f>
        <v>0</v>
      </c>
      <c r="E193" s="242">
        <f>(AND(E$8&gt;=YEAR(PhaseIIIPreconBegin),E$8&lt;=YEAR(PhaseIIIConEnd)))*SUM($D191:$N191)*'Assumptions-Overall'!$H$44/(YEAR(PhaseIIIConEnd)-YEAR(PhaseIIIPreconBegin)+1)</f>
        <v>0</v>
      </c>
      <c r="F193" s="242">
        <f>(AND(F$8&gt;=YEAR(PhaseIIIPreconBegin),F$8&lt;=YEAR(PhaseIIIConEnd)))*SUM($D191:$N191)*'Assumptions-Overall'!$H$44/(YEAR(PhaseIIIConEnd)-YEAR(PhaseIIIPreconBegin)+1)</f>
        <v>0</v>
      </c>
      <c r="G193" s="242">
        <f>(AND(G$8&gt;=YEAR(PhaseIIIPreconBegin),G$8&lt;=YEAR(PhaseIIIConEnd)))*SUM($D191:$N191)*'Assumptions-Overall'!$H$44/(YEAR(PhaseIIIConEnd)-YEAR(PhaseIIIPreconBegin)+1)</f>
        <v>0</v>
      </c>
      <c r="H193" s="242">
        <f>(AND(H$8&gt;=YEAR(PhaseIIIPreconBegin),H$8&lt;=YEAR(PhaseIIIConEnd)))*SUM($D191:$N191)*'Assumptions-Overall'!$H$44/(YEAR(PhaseIIIConEnd)-YEAR(PhaseIIIPreconBegin)+1)</f>
        <v>-5686883.0027141869</v>
      </c>
      <c r="I193" s="242">
        <f>(AND(I$8&gt;=YEAR(PhaseIIIPreconBegin),I$8&lt;=YEAR(PhaseIIIConEnd)))*SUM($D191:$N191)*'Assumptions-Overall'!$H$44/(YEAR(PhaseIIIConEnd)-YEAR(PhaseIIIPreconBegin)+1)</f>
        <v>-5686883.0027141869</v>
      </c>
      <c r="J193" s="242">
        <f>(AND(J$8&gt;=YEAR(PhaseIIIPreconBegin),J$8&lt;=YEAR(PhaseIIIConEnd)))*SUM($D191:$N191)*'Assumptions-Overall'!$H$44/(YEAR(PhaseIIIConEnd)-YEAR(PhaseIIIPreconBegin)+1)</f>
        <v>-5686883.0027141869</v>
      </c>
      <c r="K193" s="242">
        <f>(AND(K$8&gt;=YEAR(PhaseIIIPreconBegin),K$8&lt;=YEAR(PhaseIIIConEnd)))*SUM($D191:$N191)*'Assumptions-Overall'!$H$44/(YEAR(PhaseIIIConEnd)-YEAR(PhaseIIIPreconBegin)+1)</f>
        <v>-5686883.0027141869</v>
      </c>
      <c r="L193" s="242">
        <f>(AND(L$8&gt;=YEAR(PhaseIIIPreconBegin),L$8&lt;=YEAR(PhaseIIIConEnd)))*SUM($D191:$N191)*'Assumptions-Overall'!$H$44/(YEAR(PhaseIIIConEnd)-YEAR(PhaseIIIPreconBegin)+1)</f>
        <v>0</v>
      </c>
      <c r="M193" s="242">
        <f>(AND(M$8&gt;=YEAR(PhaseIIIPreconBegin),M$8&lt;=YEAR(PhaseIIIConEnd)))*SUM($D191:$N191)*'Assumptions-Overall'!$H$44/(YEAR(PhaseIIIConEnd)-YEAR(PhaseIIIPreconBegin)+1)</f>
        <v>0</v>
      </c>
      <c r="N193" s="247"/>
    </row>
    <row r="194" spans="2:14" x14ac:dyDescent="0.2">
      <c r="B194" s="4" t="s">
        <v>184</v>
      </c>
      <c r="C194" s="12"/>
      <c r="D194" s="240">
        <f>SUM(D191:D193)*'Assumptions-Overall'!$H$45</f>
        <v>0</v>
      </c>
      <c r="E194" s="240">
        <f>SUM(E191:E193)*'Assumptions-Overall'!$H$45</f>
        <v>0</v>
      </c>
      <c r="F194" s="240">
        <f>SUM(F191:F193)*'Assumptions-Overall'!$H$45</f>
        <v>0</v>
      </c>
      <c r="G194" s="240">
        <f>SUM(G191:G193)*'Assumptions-Overall'!$H$45</f>
        <v>0</v>
      </c>
      <c r="H194" s="240">
        <f>SUM(H191:H193)*'Assumptions-Overall'!$H$45</f>
        <v>-238849.08611399584</v>
      </c>
      <c r="I194" s="240">
        <f>SUM(I191:I193)*'Assumptions-Overall'!$H$45</f>
        <v>-238849.08611399584</v>
      </c>
      <c r="J194" s="240">
        <f>SUM(J191:J193)*'Assumptions-Overall'!$H$45</f>
        <v>-2479985.244819094</v>
      </c>
      <c r="K194" s="240">
        <f>SUM(K191:K193)*'Assumptions-Overall'!$H$45</f>
        <v>-2547219.3295802469</v>
      </c>
      <c r="L194" s="240">
        <f>SUM(L191:L193)*'Assumptions-Overall'!$H$45</f>
        <v>0</v>
      </c>
      <c r="M194" s="240">
        <f>SUM(M191:M193)*'Assumptions-Overall'!$H$45</f>
        <v>0</v>
      </c>
      <c r="N194" s="247"/>
    </row>
    <row r="195" spans="2:14" x14ac:dyDescent="0.2">
      <c r="B195" s="4" t="s">
        <v>313</v>
      </c>
      <c r="C195" s="12"/>
      <c r="D195" s="242">
        <f>SUM(D191:D194)</f>
        <v>0</v>
      </c>
      <c r="E195" s="242">
        <f t="shared" ref="E195:M195" si="114">SUM(E191:E194)</f>
        <v>0</v>
      </c>
      <c r="F195" s="242">
        <f t="shared" si="114"/>
        <v>0</v>
      </c>
      <c r="G195" s="242">
        <f t="shared" si="114"/>
        <v>0</v>
      </c>
      <c r="H195" s="242">
        <f t="shared" si="114"/>
        <v>-8200485.2899138574</v>
      </c>
      <c r="I195" s="242">
        <f t="shared" si="114"/>
        <v>-8200485.2899138574</v>
      </c>
      <c r="J195" s="242">
        <f t="shared" si="114"/>
        <v>-85146160.072122231</v>
      </c>
      <c r="K195" s="242">
        <f t="shared" si="114"/>
        <v>-87454530.315588489</v>
      </c>
      <c r="L195" s="242">
        <f t="shared" si="114"/>
        <v>0</v>
      </c>
      <c r="M195" s="242">
        <f t="shared" si="114"/>
        <v>0</v>
      </c>
      <c r="N195" s="247"/>
    </row>
    <row r="196" spans="2:14" x14ac:dyDescent="0.2">
      <c r="B196" s="4"/>
      <c r="C196" s="12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7"/>
    </row>
    <row r="197" spans="2:14" x14ac:dyDescent="0.2">
      <c r="B197" s="53" t="s">
        <v>314</v>
      </c>
      <c r="C197" s="1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7"/>
    </row>
    <row r="198" spans="2:14" x14ac:dyDescent="0.2">
      <c r="B198" s="4" t="s">
        <v>316</v>
      </c>
      <c r="C198" s="12"/>
      <c r="D198" s="242">
        <f>(D$8=YEAR('Assumptions-Overall'!$C$30))*E186/'Assumptions-Overall'!$Y$22</f>
        <v>0</v>
      </c>
      <c r="E198" s="242">
        <f>(E$8=YEAR('Assumptions-Overall'!$C$30))*F186/'Assumptions-Overall'!$Y$22</f>
        <v>0</v>
      </c>
      <c r="F198" s="242">
        <f>(F$8=YEAR('Assumptions-Overall'!$C$30))*G186/'Assumptions-Overall'!$Y$22</f>
        <v>0</v>
      </c>
      <c r="G198" s="242">
        <f>(G$8=YEAR('Assumptions-Overall'!$C$30))*H186/'Assumptions-Overall'!$Y$22</f>
        <v>0</v>
      </c>
      <c r="H198" s="242">
        <f>(H$8=YEAR('Assumptions-Overall'!$C$30))*I186/'Assumptions-Overall'!$Y$22</f>
        <v>0</v>
      </c>
      <c r="I198" s="242">
        <f>(I$8=YEAR('Assumptions-Overall'!$C$30))*J186/'Assumptions-Overall'!$Y$22</f>
        <v>0</v>
      </c>
      <c r="J198" s="242">
        <f>(J$8=YEAR('Assumptions-Overall'!$C$30))*K186/'Assumptions-Overall'!$Y$22</f>
        <v>0</v>
      </c>
      <c r="K198" s="242">
        <f>(K$8=YEAR('Assumptions-Overall'!$C$30))*L186/'Assumptions-Overall'!$Y$22</f>
        <v>0</v>
      </c>
      <c r="L198" s="242">
        <f>(L$8=YEAR('Assumptions-Overall'!$C$30))*M186/'Assumptions-Overall'!$Y$22</f>
        <v>0</v>
      </c>
      <c r="M198" s="242">
        <f>(M$8=YEAR('Assumptions-Overall'!$C$30))*N186/'Assumptions-Overall'!$Y$22</f>
        <v>477581887.02473438</v>
      </c>
      <c r="N198" s="247"/>
    </row>
    <row r="199" spans="2:14" x14ac:dyDescent="0.2">
      <c r="B199" s="4" t="s">
        <v>317</v>
      </c>
      <c r="C199" s="12"/>
      <c r="D199" s="240">
        <f>-D198*'Assumptions-Overall'!$U$27</f>
        <v>0</v>
      </c>
      <c r="E199" s="240">
        <f>-E198*'Assumptions-Overall'!$U$27</f>
        <v>0</v>
      </c>
      <c r="F199" s="240">
        <f>-F198*'Assumptions-Overall'!$U$27</f>
        <v>0</v>
      </c>
      <c r="G199" s="240">
        <f>-G198*'Assumptions-Overall'!$U$27</f>
        <v>0</v>
      </c>
      <c r="H199" s="240">
        <f>-H198*'Assumptions-Overall'!$U$27</f>
        <v>0</v>
      </c>
      <c r="I199" s="240">
        <f>-I198*'Assumptions-Overall'!$U$27</f>
        <v>0</v>
      </c>
      <c r="J199" s="240">
        <f>-J198*'Assumptions-Overall'!$U$27</f>
        <v>0</v>
      </c>
      <c r="K199" s="240">
        <f>-K198*'Assumptions-Overall'!$U$27</f>
        <v>0</v>
      </c>
      <c r="L199" s="240">
        <f>-L198*'Assumptions-Overall'!$U$27</f>
        <v>0</v>
      </c>
      <c r="M199" s="240">
        <f>-M198*'Assumptions-Overall'!$U$27</f>
        <v>-4775818.8702473436</v>
      </c>
      <c r="N199" s="247"/>
    </row>
    <row r="200" spans="2:14" x14ac:dyDescent="0.2">
      <c r="B200" s="4" t="s">
        <v>318</v>
      </c>
      <c r="C200" s="12"/>
      <c r="D200" s="242">
        <f>SUM(D198:D199)</f>
        <v>0</v>
      </c>
      <c r="E200" s="242">
        <f t="shared" ref="E200:M200" si="115">SUM(E198:E199)</f>
        <v>0</v>
      </c>
      <c r="F200" s="242">
        <f t="shared" si="115"/>
        <v>0</v>
      </c>
      <c r="G200" s="242">
        <f t="shared" si="115"/>
        <v>0</v>
      </c>
      <c r="H200" s="242">
        <f t="shared" si="115"/>
        <v>0</v>
      </c>
      <c r="I200" s="242">
        <f t="shared" si="115"/>
        <v>0</v>
      </c>
      <c r="J200" s="242">
        <f t="shared" si="115"/>
        <v>0</v>
      </c>
      <c r="K200" s="242">
        <f t="shared" si="115"/>
        <v>0</v>
      </c>
      <c r="L200" s="242">
        <f t="shared" si="115"/>
        <v>0</v>
      </c>
      <c r="M200" s="242">
        <f t="shared" si="115"/>
        <v>472806068.15448701</v>
      </c>
      <c r="N200" s="247"/>
    </row>
    <row r="201" spans="2:14" x14ac:dyDescent="0.2">
      <c r="B201" s="4"/>
      <c r="C201" s="1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7"/>
    </row>
    <row r="202" spans="2:14" x14ac:dyDescent="0.2">
      <c r="B202" s="4" t="s">
        <v>315</v>
      </c>
      <c r="C202" s="12"/>
      <c r="D202" s="242">
        <f t="shared" ref="D202:M202" si="116">D188+D195+D200</f>
        <v>0</v>
      </c>
      <c r="E202" s="242">
        <f t="shared" si="116"/>
        <v>0</v>
      </c>
      <c r="F202" s="242">
        <f t="shared" si="116"/>
        <v>0</v>
      </c>
      <c r="G202" s="242">
        <f t="shared" si="116"/>
        <v>0</v>
      </c>
      <c r="H202" s="242">
        <f t="shared" si="116"/>
        <v>-8200485.2899138574</v>
      </c>
      <c r="I202" s="242">
        <f t="shared" si="116"/>
        <v>-8200485.2899138574</v>
      </c>
      <c r="J202" s="242">
        <f t="shared" si="116"/>
        <v>-85146160.072122231</v>
      </c>
      <c r="K202" s="242">
        <f t="shared" si="116"/>
        <v>-87454530.315588489</v>
      </c>
      <c r="L202" s="242">
        <f t="shared" si="116"/>
        <v>27900582.54023546</v>
      </c>
      <c r="M202" s="242">
        <f t="shared" si="116"/>
        <v>501543668.17092955</v>
      </c>
      <c r="N202" s="247"/>
    </row>
    <row r="203" spans="2:14" x14ac:dyDescent="0.2">
      <c r="B203" s="4" t="s">
        <v>320</v>
      </c>
      <c r="C203" s="254">
        <f>IFERROR(IRR(D202:M202),"n/a")</f>
        <v>0.45925707706021757</v>
      </c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7"/>
    </row>
    <row r="204" spans="2:14" ht="12.75" thickBot="1" x14ac:dyDescent="0.25">
      <c r="B204" s="6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6"/>
    </row>
    <row r="206" spans="2:14" x14ac:dyDescent="0.2">
      <c r="B206" s="1" t="s">
        <v>407</v>
      </c>
      <c r="D206" s="285">
        <f>D202+D137+D72</f>
        <v>0</v>
      </c>
      <c r="E206" s="285">
        <f t="shared" ref="E206:M206" si="117">E202+E137+E72</f>
        <v>0</v>
      </c>
      <c r="F206" s="285">
        <f t="shared" si="117"/>
        <v>0</v>
      </c>
      <c r="G206" s="285">
        <f t="shared" si="117"/>
        <v>0</v>
      </c>
      <c r="H206" s="285">
        <f t="shared" si="117"/>
        <v>-8200485.2899138574</v>
      </c>
      <c r="I206" s="285">
        <f t="shared" si="117"/>
        <v>-8200485.2899138574</v>
      </c>
      <c r="J206" s="285">
        <f t="shared" si="117"/>
        <v>-85146160.072122231</v>
      </c>
      <c r="K206" s="285">
        <f t="shared" si="117"/>
        <v>-87454530.315588489</v>
      </c>
      <c r="L206" s="285">
        <f t="shared" si="117"/>
        <v>27900582.54023546</v>
      </c>
      <c r="M206" s="285">
        <f t="shared" si="117"/>
        <v>501543668.17092955</v>
      </c>
    </row>
    <row r="207" spans="2:14" x14ac:dyDescent="0.2">
      <c r="B207" s="1" t="s">
        <v>408</v>
      </c>
      <c r="C207" s="286">
        <f>IRR(D206:M206)</f>
        <v>0.45925707706021757</v>
      </c>
    </row>
  </sheetData>
  <mergeCells count="2">
    <mergeCell ref="B2:C2"/>
    <mergeCell ref="B6:N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6A86-5C0F-4856-96D2-3DF1654119BC}">
  <sheetPr>
    <tabColor theme="8" tint="0.39997558519241921"/>
  </sheetPr>
  <dimension ref="B1:J33"/>
  <sheetViews>
    <sheetView workbookViewId="0"/>
    <sheetView workbookViewId="1"/>
  </sheetViews>
  <sheetFormatPr defaultRowHeight="12" x14ac:dyDescent="0.2"/>
  <cols>
    <col min="1" max="1" width="2.85546875" style="1" customWidth="1"/>
    <col min="2" max="2" width="39.42578125" style="1" bestFit="1" customWidth="1"/>
    <col min="3" max="4" width="9.140625" style="1"/>
    <col min="5" max="5" width="13.85546875" style="1" bestFit="1" customWidth="1"/>
    <col min="6" max="7" width="13.5703125" style="1" bestFit="1" customWidth="1"/>
    <col min="8" max="8" width="2.85546875" style="1" customWidth="1"/>
    <col min="9" max="9" width="39.42578125" style="1" bestFit="1" customWidth="1"/>
    <col min="10" max="10" width="13.5703125" style="1" bestFit="1" customWidth="1"/>
    <col min="11" max="16384" width="9.140625" style="1"/>
  </cols>
  <sheetData>
    <row r="1" spans="2:10" ht="12.75" thickBot="1" x14ac:dyDescent="0.25"/>
    <row r="2" spans="2:10" x14ac:dyDescent="0.2">
      <c r="B2" s="417" t="s">
        <v>59</v>
      </c>
      <c r="C2" s="418"/>
    </row>
    <row r="3" spans="2:10" x14ac:dyDescent="0.2">
      <c r="B3" s="4" t="s">
        <v>58</v>
      </c>
      <c r="C3" s="5" t="str">
        <f>ProjectName</f>
        <v>Montage</v>
      </c>
      <c r="D3" s="34"/>
    </row>
    <row r="4" spans="2:10" ht="12.75" thickBot="1" x14ac:dyDescent="0.25">
      <c r="B4" s="6" t="s">
        <v>56</v>
      </c>
      <c r="C4" s="7">
        <f>TeamNumber</f>
        <v>181430</v>
      </c>
      <c r="D4" s="51"/>
      <c r="E4" s="138"/>
    </row>
    <row r="5" spans="2:10" ht="12.75" thickBot="1" x14ac:dyDescent="0.25"/>
    <row r="6" spans="2:10" x14ac:dyDescent="0.2">
      <c r="B6" s="419" t="s">
        <v>141</v>
      </c>
      <c r="C6" s="420"/>
      <c r="D6" s="420"/>
      <c r="E6" s="420"/>
      <c r="F6" s="420"/>
      <c r="G6" s="421"/>
      <c r="I6" s="419" t="s">
        <v>288</v>
      </c>
      <c r="J6" s="421"/>
    </row>
    <row r="7" spans="2:10" x14ac:dyDescent="0.2">
      <c r="B7" s="50" t="s">
        <v>163</v>
      </c>
      <c r="D7" s="146" t="s">
        <v>155</v>
      </c>
      <c r="E7" s="57" t="s">
        <v>160</v>
      </c>
      <c r="F7" s="5" t="s">
        <v>158</v>
      </c>
      <c r="G7" s="5" t="s">
        <v>286</v>
      </c>
      <c r="I7" s="53" t="s">
        <v>359</v>
      </c>
      <c r="J7" s="56"/>
    </row>
    <row r="8" spans="2:10" x14ac:dyDescent="0.2">
      <c r="B8" s="53" t="s">
        <v>63</v>
      </c>
      <c r="D8" s="54" t="s">
        <v>156</v>
      </c>
      <c r="E8" s="144" t="s">
        <v>159</v>
      </c>
      <c r="F8" s="56" t="s">
        <v>155</v>
      </c>
      <c r="G8" s="56" t="s">
        <v>287</v>
      </c>
      <c r="I8" s="4" t="s">
        <v>360</v>
      </c>
      <c r="J8" s="59">
        <f>'Assumptions-ResCondo'!C13+'Assumptions-ResCondo'!C21</f>
        <v>682</v>
      </c>
    </row>
    <row r="9" spans="2:10" x14ac:dyDescent="0.2">
      <c r="B9" s="4" t="s">
        <v>148</v>
      </c>
      <c r="D9" s="57">
        <f>BuildingSummary!C33</f>
        <v>381</v>
      </c>
      <c r="E9" s="89">
        <v>381</v>
      </c>
      <c r="F9" s="142">
        <f t="shared" ref="F9:F14" si="0">E9/D9</f>
        <v>1</v>
      </c>
      <c r="G9" s="142">
        <v>1</v>
      </c>
      <c r="I9" s="246" t="s">
        <v>364</v>
      </c>
      <c r="J9" s="59">
        <f>'Assumptions-ResCondo'!D13+'Assumptions-ResCondo'!D21</f>
        <v>381</v>
      </c>
    </row>
    <row r="10" spans="2:10" x14ac:dyDescent="0.2">
      <c r="B10" s="4" t="s">
        <v>149</v>
      </c>
      <c r="D10" s="57">
        <f>BuildingSummary!U38-BuildingSummary!C38</f>
        <v>178</v>
      </c>
      <c r="E10" s="89">
        <v>54</v>
      </c>
      <c r="F10" s="142">
        <f t="shared" si="0"/>
        <v>0.30337078651685395</v>
      </c>
      <c r="G10" s="142">
        <v>0.3</v>
      </c>
      <c r="I10" s="246" t="s">
        <v>365</v>
      </c>
      <c r="J10" s="59">
        <f>'Assumptions-ResCondo'!E13+'Assumptions-ResCondo'!E21</f>
        <v>200</v>
      </c>
    </row>
    <row r="11" spans="2:10" x14ac:dyDescent="0.2">
      <c r="B11" s="4" t="s">
        <v>150</v>
      </c>
      <c r="D11" s="57">
        <f>BuildingSummary!U39-BuildingSummary!C39</f>
        <v>285</v>
      </c>
      <c r="E11" s="89">
        <v>143</v>
      </c>
      <c r="F11" s="142">
        <f t="shared" si="0"/>
        <v>0.50175438596491229</v>
      </c>
      <c r="G11" s="142">
        <v>0.5</v>
      </c>
      <c r="I11" s="246" t="s">
        <v>366</v>
      </c>
      <c r="J11" s="59">
        <f>'Assumptions-ResCondo'!F13+'Assumptions-ResCondo'!F21</f>
        <v>101</v>
      </c>
    </row>
    <row r="12" spans="2:10" x14ac:dyDescent="0.2">
      <c r="B12" s="4" t="s">
        <v>151</v>
      </c>
      <c r="D12" s="57">
        <f>BuildingSummary!U40-BuildingSummary!C40</f>
        <v>68</v>
      </c>
      <c r="E12" s="89">
        <v>55</v>
      </c>
      <c r="F12" s="142">
        <f t="shared" si="0"/>
        <v>0.80882352941176472</v>
      </c>
      <c r="G12" s="142">
        <v>0.8</v>
      </c>
      <c r="I12" s="4" t="s">
        <v>361</v>
      </c>
      <c r="J12" s="93">
        <v>0.5</v>
      </c>
    </row>
    <row r="13" spans="2:10" x14ac:dyDescent="0.2">
      <c r="B13" s="147" t="s">
        <v>152</v>
      </c>
      <c r="C13" s="49"/>
      <c r="D13" s="62">
        <f>BuildingSummary!U41-BuildingSummary!C41</f>
        <v>34</v>
      </c>
      <c r="E13" s="260">
        <v>34</v>
      </c>
      <c r="F13" s="143">
        <f t="shared" si="0"/>
        <v>1</v>
      </c>
      <c r="G13" s="143">
        <v>1</v>
      </c>
      <c r="I13" s="4" t="s">
        <v>362</v>
      </c>
      <c r="J13" s="173">
        <v>40000</v>
      </c>
    </row>
    <row r="14" spans="2:10" x14ac:dyDescent="0.2">
      <c r="B14" s="148" t="s">
        <v>166</v>
      </c>
      <c r="C14" s="149"/>
      <c r="D14" s="150">
        <f>SUM(D9:D13)</f>
        <v>946</v>
      </c>
      <c r="E14" s="150">
        <f>SUM(E9:E13)</f>
        <v>667</v>
      </c>
      <c r="F14" s="151">
        <f t="shared" si="0"/>
        <v>0.70507399577167018</v>
      </c>
      <c r="G14" s="151"/>
      <c r="I14" s="4"/>
      <c r="J14" s="142"/>
    </row>
    <row r="15" spans="2:10" x14ac:dyDescent="0.2">
      <c r="B15" s="4"/>
      <c r="C15" s="57"/>
      <c r="D15" s="57"/>
      <c r="E15" s="57"/>
      <c r="F15" s="142"/>
      <c r="G15" s="142"/>
      <c r="I15" s="4" t="s">
        <v>363</v>
      </c>
      <c r="J15" s="59">
        <f>E30-J8*J12</f>
        <v>1205</v>
      </c>
    </row>
    <row r="16" spans="2:10" x14ac:dyDescent="0.2">
      <c r="B16" s="4"/>
      <c r="C16" s="34" t="s">
        <v>153</v>
      </c>
      <c r="D16" s="34" t="s">
        <v>153</v>
      </c>
      <c r="E16" s="57" t="s">
        <v>160</v>
      </c>
      <c r="F16" s="142" t="s">
        <v>161</v>
      </c>
      <c r="G16" s="142" t="s">
        <v>161</v>
      </c>
      <c r="I16" s="246" t="s">
        <v>368</v>
      </c>
      <c r="J16" s="59">
        <f>E28-J9*J12</f>
        <v>120.5</v>
      </c>
    </row>
    <row r="17" spans="2:10" x14ac:dyDescent="0.2">
      <c r="B17" s="53" t="s">
        <v>164</v>
      </c>
      <c r="C17" s="54" t="s">
        <v>154</v>
      </c>
      <c r="D17" s="54" t="s">
        <v>157</v>
      </c>
      <c r="E17" s="144" t="s">
        <v>159</v>
      </c>
      <c r="F17" s="145" t="s">
        <v>162</v>
      </c>
      <c r="G17" s="145" t="s">
        <v>162</v>
      </c>
      <c r="I17" s="246" t="s">
        <v>369</v>
      </c>
      <c r="J17" s="265">
        <f>E30-SUM(J9:J10)*J12</f>
        <v>1255.5</v>
      </c>
    </row>
    <row r="18" spans="2:10" x14ac:dyDescent="0.2">
      <c r="B18" s="4" t="s">
        <v>142</v>
      </c>
      <c r="C18" s="57">
        <f>BuildingSummary!U21</f>
        <v>200238</v>
      </c>
      <c r="D18" s="57">
        <f>C18*0.092903</f>
        <v>18602.710913999999</v>
      </c>
      <c r="E18" s="89">
        <v>186</v>
      </c>
      <c r="F18" s="142">
        <f>E18/D18*100</f>
        <v>0.99985427317488651</v>
      </c>
      <c r="G18" s="142">
        <v>1</v>
      </c>
      <c r="I18" s="246" t="s">
        <v>370</v>
      </c>
      <c r="J18" s="265">
        <f>E30-SUM(J9:J11)*J12</f>
        <v>1205</v>
      </c>
    </row>
    <row r="19" spans="2:10" x14ac:dyDescent="0.2">
      <c r="B19" s="4" t="s">
        <v>143</v>
      </c>
      <c r="C19" s="57">
        <f>BuildingSummary!U22</f>
        <v>1235668</v>
      </c>
      <c r="D19" s="57">
        <f t="shared" ref="D19:D23" si="1">C19*0.092903</f>
        <v>114797.26420400001</v>
      </c>
      <c r="E19" s="89">
        <v>402</v>
      </c>
      <c r="F19" s="142">
        <f t="shared" ref="F19:F24" si="2">E19/D19*100</f>
        <v>0.35018256121994995</v>
      </c>
      <c r="G19" s="142">
        <v>0.35</v>
      </c>
      <c r="I19" s="4"/>
      <c r="J19" s="142"/>
    </row>
    <row r="20" spans="2:10" ht="12.75" thickBot="1" x14ac:dyDescent="0.25">
      <c r="B20" s="4" t="s">
        <v>144</v>
      </c>
      <c r="C20" s="57">
        <f>BuildingSummary!U23</f>
        <v>333674</v>
      </c>
      <c r="D20" s="57">
        <f t="shared" si="1"/>
        <v>30999.315621999998</v>
      </c>
      <c r="E20" s="89">
        <v>62</v>
      </c>
      <c r="F20" s="142">
        <f t="shared" si="2"/>
        <v>0.20000441543941389</v>
      </c>
      <c r="G20" s="142">
        <v>0.2</v>
      </c>
      <c r="I20" s="6" t="s">
        <v>371</v>
      </c>
      <c r="J20" s="267">
        <v>150</v>
      </c>
    </row>
    <row r="21" spans="2:10" x14ac:dyDescent="0.2">
      <c r="B21" s="4" t="s">
        <v>145</v>
      </c>
      <c r="C21" s="57">
        <f>BuildingSummary!U24</f>
        <v>14413</v>
      </c>
      <c r="D21" s="57">
        <f t="shared" si="1"/>
        <v>1339.010939</v>
      </c>
      <c r="E21" s="89">
        <v>20</v>
      </c>
      <c r="F21" s="142">
        <f t="shared" si="2"/>
        <v>1.4936397767546543</v>
      </c>
      <c r="G21" s="142">
        <v>0.5</v>
      </c>
    </row>
    <row r="22" spans="2:10" x14ac:dyDescent="0.2">
      <c r="B22" s="4" t="s">
        <v>146</v>
      </c>
      <c r="C22" s="57">
        <f>BuildingSummary!U25</f>
        <v>28633</v>
      </c>
      <c r="D22" s="57">
        <f t="shared" si="1"/>
        <v>2660.0915989999999</v>
      </c>
      <c r="E22" s="261">
        <f>D22/100*5</f>
        <v>133.00457994999999</v>
      </c>
      <c r="F22" s="142">
        <f t="shared" si="2"/>
        <v>5</v>
      </c>
      <c r="G22" s="142">
        <v>5</v>
      </c>
    </row>
    <row r="23" spans="2:10" x14ac:dyDescent="0.2">
      <c r="B23" s="147" t="s">
        <v>147</v>
      </c>
      <c r="C23" s="62">
        <f>BuildingSummary!U26</f>
        <v>35987</v>
      </c>
      <c r="D23" s="62">
        <f t="shared" si="1"/>
        <v>3343.3002609999999</v>
      </c>
      <c r="E23" s="260">
        <v>17</v>
      </c>
      <c r="F23" s="143">
        <f t="shared" si="2"/>
        <v>0.50847960616361765</v>
      </c>
      <c r="G23" s="143">
        <v>0.5</v>
      </c>
    </row>
    <row r="24" spans="2:10" x14ac:dyDescent="0.2">
      <c r="B24" s="148" t="s">
        <v>165</v>
      </c>
      <c r="C24" s="150">
        <f>SUM(C18:C23)</f>
        <v>1848613</v>
      </c>
      <c r="D24" s="150">
        <f>SUM(D18:D23)</f>
        <v>171741.693539</v>
      </c>
      <c r="E24" s="156">
        <f>SUM(E18:E23)</f>
        <v>820.00457994999999</v>
      </c>
      <c r="F24" s="151">
        <f t="shared" si="2"/>
        <v>0.4774638953724939</v>
      </c>
      <c r="G24" s="151"/>
    </row>
    <row r="25" spans="2:10" x14ac:dyDescent="0.2">
      <c r="B25" s="148"/>
      <c r="C25" s="150"/>
      <c r="D25" s="150"/>
      <c r="E25" s="152"/>
      <c r="F25" s="151"/>
      <c r="G25" s="151"/>
    </row>
    <row r="26" spans="2:10" x14ac:dyDescent="0.2">
      <c r="B26" s="147" t="s">
        <v>168</v>
      </c>
      <c r="C26" s="62"/>
      <c r="D26" s="62"/>
      <c r="E26" s="262">
        <f>E30-G26-E22</f>
        <v>58.995420050000007</v>
      </c>
      <c r="F26" s="143"/>
      <c r="G26" s="63">
        <v>1354</v>
      </c>
      <c r="H26" s="138"/>
    </row>
    <row r="27" spans="2:10" x14ac:dyDescent="0.2">
      <c r="B27" s="4"/>
      <c r="C27" s="57"/>
      <c r="D27" s="57"/>
      <c r="E27" s="34"/>
      <c r="F27" s="142"/>
      <c r="G27" s="142"/>
    </row>
    <row r="28" spans="2:10" ht="12.75" thickBot="1" x14ac:dyDescent="0.25">
      <c r="B28" s="153" t="s">
        <v>284</v>
      </c>
      <c r="C28" s="154"/>
      <c r="D28" s="154"/>
      <c r="E28" s="263">
        <v>311</v>
      </c>
      <c r="F28" s="155"/>
      <c r="G28" s="155"/>
    </row>
    <row r="29" spans="2:10" ht="12.75" thickBot="1" x14ac:dyDescent="0.25">
      <c r="B29" s="153" t="s">
        <v>285</v>
      </c>
      <c r="C29" s="154"/>
      <c r="D29" s="154"/>
      <c r="E29" s="263">
        <v>1235</v>
      </c>
      <c r="F29" s="155"/>
      <c r="G29" s="155"/>
    </row>
    <row r="30" spans="2:10" ht="12.75" thickBot="1" x14ac:dyDescent="0.25">
      <c r="B30" s="236" t="s">
        <v>167</v>
      </c>
      <c r="C30" s="237"/>
      <c r="D30" s="237"/>
      <c r="E30" s="266">
        <f>E28+E29</f>
        <v>1546</v>
      </c>
      <c r="F30" s="238"/>
      <c r="G30" s="238"/>
      <c r="H30" s="138"/>
    </row>
    <row r="32" spans="2:10" x14ac:dyDescent="0.2">
      <c r="E32" s="138"/>
    </row>
    <row r="33" spans="5:5" x14ac:dyDescent="0.2">
      <c r="E33" s="264"/>
    </row>
  </sheetData>
  <mergeCells count="3">
    <mergeCell ref="B2:C2"/>
    <mergeCell ref="B6:G6"/>
    <mergeCell ref="I6:J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8B90-5DF0-49E1-91A9-939781273251}">
  <sheetPr>
    <tabColor theme="2" tint="-0.499984740745262"/>
  </sheetPr>
  <dimension ref="B1:N73"/>
  <sheetViews>
    <sheetView workbookViewId="0"/>
    <sheetView workbookViewId="1"/>
  </sheetViews>
  <sheetFormatPr defaultRowHeight="12" x14ac:dyDescent="0.2"/>
  <cols>
    <col min="1" max="1" width="2.85546875" style="1" customWidth="1"/>
    <col min="2" max="2" width="31.140625" style="1" bestFit="1" customWidth="1"/>
    <col min="3" max="3" width="9.140625" style="1"/>
    <col min="4" max="14" width="11.42578125" style="1" customWidth="1"/>
    <col min="15" max="16384" width="9.140625" style="1"/>
  </cols>
  <sheetData>
    <row r="1" spans="2:14" ht="12.75" thickBot="1" x14ac:dyDescent="0.25"/>
    <row r="2" spans="2:14" x14ac:dyDescent="0.2">
      <c r="B2" s="417" t="s">
        <v>59</v>
      </c>
      <c r="C2" s="418"/>
    </row>
    <row r="3" spans="2:14" x14ac:dyDescent="0.2">
      <c r="B3" s="4" t="s">
        <v>58</v>
      </c>
      <c r="C3" s="5" t="str">
        <f>ProjectName</f>
        <v>Montage</v>
      </c>
    </row>
    <row r="4" spans="2:14" ht="12.75" thickBot="1" x14ac:dyDescent="0.25">
      <c r="B4" s="6" t="s">
        <v>56</v>
      </c>
      <c r="C4" s="7">
        <f>TeamNumber</f>
        <v>181430</v>
      </c>
    </row>
    <row r="5" spans="2:14" ht="12.75" thickBot="1" x14ac:dyDescent="0.25"/>
    <row r="6" spans="2:14" x14ac:dyDescent="0.2">
      <c r="B6" s="419" t="s">
        <v>372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1"/>
    </row>
    <row r="7" spans="2:14" x14ac:dyDescent="0.2">
      <c r="B7" s="4" t="s">
        <v>290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">
      <c r="B8" s="4" t="s">
        <v>291</v>
      </c>
      <c r="C8" s="12"/>
      <c r="D8" s="12">
        <f>YEAR('Assumptions-Overall'!C9)</f>
        <v>2018</v>
      </c>
      <c r="E8" s="12">
        <f>D8+1</f>
        <v>2019</v>
      </c>
      <c r="F8" s="12">
        <f t="shared" si="0"/>
        <v>2020</v>
      </c>
      <c r="G8" s="12">
        <f t="shared" si="0"/>
        <v>2021</v>
      </c>
      <c r="H8" s="12">
        <f t="shared" si="0"/>
        <v>2022</v>
      </c>
      <c r="I8" s="12">
        <f t="shared" si="0"/>
        <v>2023</v>
      </c>
      <c r="J8" s="12">
        <f t="shared" si="0"/>
        <v>2024</v>
      </c>
      <c r="K8" s="12">
        <f t="shared" si="0"/>
        <v>2025</v>
      </c>
      <c r="L8" s="12">
        <f t="shared" si="0"/>
        <v>2026</v>
      </c>
      <c r="M8" s="12">
        <f t="shared" si="0"/>
        <v>2027</v>
      </c>
      <c r="N8" s="13">
        <f t="shared" si="0"/>
        <v>2028</v>
      </c>
    </row>
    <row r="9" spans="2:14" x14ac:dyDescent="0.2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">
      <c r="B10" s="243" t="s">
        <v>292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">
      <c r="B11" s="4" t="s">
        <v>293</v>
      </c>
      <c r="C11" s="12"/>
      <c r="D11" s="244">
        <f>(D$8&gt;=YEAR(PhaseIComplete))*'Assumptions-Parking'!$E$28*350</f>
        <v>0</v>
      </c>
      <c r="E11" s="244">
        <f>(E$8&gt;=YEAR(PhaseIComplete))*'Assumptions-Parking'!$E$28*350</f>
        <v>0</v>
      </c>
      <c r="F11" s="244">
        <f>(F$8&gt;=YEAR(PhaseIComplete))*'Assumptions-Parking'!$E$28*350</f>
        <v>0</v>
      </c>
      <c r="G11" s="244">
        <f>(G$8&gt;=YEAR(PhaseIComplete))*'Assumptions-Parking'!$E$28*350</f>
        <v>0</v>
      </c>
      <c r="H11" s="244">
        <f>(H$8&gt;=YEAR(PhaseIComplete))*'Assumptions-Parking'!$E$28*350</f>
        <v>108850</v>
      </c>
      <c r="I11" s="244">
        <f>(I$8&gt;=YEAR(PhaseIComplete))*'Assumptions-Parking'!$E$28*350</f>
        <v>108850</v>
      </c>
      <c r="J11" s="244">
        <f>(J$8&gt;=YEAR(PhaseIComplete))*'Assumptions-Parking'!$E$28*350</f>
        <v>108850</v>
      </c>
      <c r="K11" s="244">
        <f>(K$8&gt;=YEAR(PhaseIComplete))*'Assumptions-Parking'!$E$28*350</f>
        <v>108850</v>
      </c>
      <c r="L11" s="244">
        <f>(L$8&gt;=YEAR(PhaseIComplete))*'Assumptions-Parking'!$E$28*350</f>
        <v>108850</v>
      </c>
      <c r="M11" s="244">
        <f>(M$8&gt;=YEAR(PhaseIComplete))*'Assumptions-Parking'!$E$28*350</f>
        <v>108850</v>
      </c>
      <c r="N11" s="245">
        <f>(N$8&gt;=YEAR(PhaseIComplete))*'Assumptions-Parking'!$E$28*350</f>
        <v>108850</v>
      </c>
    </row>
    <row r="12" spans="2:14" x14ac:dyDescent="0.2">
      <c r="B12" s="4" t="s">
        <v>294</v>
      </c>
      <c r="C12" s="12"/>
      <c r="D12" s="244">
        <f>D11-C11</f>
        <v>0</v>
      </c>
      <c r="E12" s="244">
        <f t="shared" ref="E12:N12" si="1">E11-D11</f>
        <v>0</v>
      </c>
      <c r="F12" s="244">
        <f t="shared" si="1"/>
        <v>0</v>
      </c>
      <c r="G12" s="244">
        <f t="shared" si="1"/>
        <v>0</v>
      </c>
      <c r="H12" s="244">
        <f t="shared" si="1"/>
        <v>108850</v>
      </c>
      <c r="I12" s="244">
        <f t="shared" si="1"/>
        <v>0</v>
      </c>
      <c r="J12" s="244">
        <f t="shared" si="1"/>
        <v>0</v>
      </c>
      <c r="K12" s="244">
        <f t="shared" si="1"/>
        <v>0</v>
      </c>
      <c r="L12" s="244">
        <f t="shared" si="1"/>
        <v>0</v>
      </c>
      <c r="M12" s="244">
        <f t="shared" si="1"/>
        <v>0</v>
      </c>
      <c r="N12" s="245">
        <f t="shared" si="1"/>
        <v>0</v>
      </c>
    </row>
    <row r="13" spans="2:14" x14ac:dyDescent="0.2">
      <c r="B13" s="4"/>
      <c r="C13" s="12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/>
    </row>
    <row r="14" spans="2:14" x14ac:dyDescent="0.2">
      <c r="B14" s="4" t="s">
        <v>375</v>
      </c>
      <c r="C14" s="12"/>
      <c r="D14" s="244">
        <f>(D$8&gt;=YEAR(PhaseIComplete))*'Assumptions-Parking'!$E$28</f>
        <v>0</v>
      </c>
      <c r="E14" s="244">
        <f>(E$8&gt;=YEAR(PhaseIComplete))*'Assumptions-Parking'!$E$28</f>
        <v>0</v>
      </c>
      <c r="F14" s="244">
        <f>(F$8&gt;=YEAR(PhaseIComplete))*'Assumptions-Parking'!$E$28</f>
        <v>0</v>
      </c>
      <c r="G14" s="244">
        <f>(G$8&gt;=YEAR(PhaseIComplete))*'Assumptions-Parking'!$E$28</f>
        <v>0</v>
      </c>
      <c r="H14" s="244">
        <f>(H$8&gt;=YEAR(PhaseIComplete))*'Assumptions-Parking'!$E$28</f>
        <v>311</v>
      </c>
      <c r="I14" s="244">
        <f>(I$8&gt;=YEAR(PhaseIComplete))*'Assumptions-Parking'!$E$28</f>
        <v>311</v>
      </c>
      <c r="J14" s="244">
        <f>(J$8&gt;=YEAR(PhaseIComplete))*'Assumptions-Parking'!$E$28</f>
        <v>311</v>
      </c>
      <c r="K14" s="244">
        <f>(K$8&gt;=YEAR(PhaseIComplete))*'Assumptions-Parking'!$E$28</f>
        <v>311</v>
      </c>
      <c r="L14" s="244">
        <f>(L$8&gt;=YEAR(PhaseIComplete))*'Assumptions-Parking'!$E$28</f>
        <v>311</v>
      </c>
      <c r="M14" s="244">
        <f>(M$8&gt;=YEAR(PhaseIComplete))*'Assumptions-Parking'!$E$28</f>
        <v>311</v>
      </c>
      <c r="N14" s="245">
        <f>(N$8&gt;=YEAR(PhaseIComplete))*'Assumptions-Parking'!$E$28</f>
        <v>311</v>
      </c>
    </row>
    <row r="15" spans="2:14" x14ac:dyDescent="0.2">
      <c r="B15" s="4" t="s">
        <v>373</v>
      </c>
      <c r="C15" s="12"/>
      <c r="D15" s="244">
        <f>SUM('CashFlow-ResCondo'!D15:D24)</f>
        <v>0</v>
      </c>
      <c r="E15" s="244">
        <f>SUM('CashFlow-ResCondo'!E15:E24)</f>
        <v>0</v>
      </c>
      <c r="F15" s="244">
        <f>SUM('CashFlow-ResCondo'!F15:F24)</f>
        <v>0</v>
      </c>
      <c r="G15" s="244">
        <f>SUM('CashFlow-ResCondo'!G15:G24)</f>
        <v>0</v>
      </c>
      <c r="H15" s="244">
        <f>SUM('CashFlow-ResCondo'!H15:H24)</f>
        <v>381</v>
      </c>
      <c r="I15" s="244">
        <f>SUM('CashFlow-ResCondo'!I15:I24)</f>
        <v>381</v>
      </c>
      <c r="J15" s="244">
        <f>SUM('CashFlow-ResCondo'!J15:J24)</f>
        <v>381</v>
      </c>
      <c r="K15" s="244">
        <f>SUM('CashFlow-ResCondo'!K15:K24)</f>
        <v>381</v>
      </c>
      <c r="L15" s="244">
        <f>SUM('CashFlow-ResCondo'!L15:L24)</f>
        <v>381</v>
      </c>
      <c r="M15" s="244">
        <f>SUM('CashFlow-ResCondo'!M15:M24)</f>
        <v>381</v>
      </c>
      <c r="N15" s="245">
        <f>SUM('CashFlow-ResCondo'!N15:N24)</f>
        <v>381</v>
      </c>
    </row>
    <row r="16" spans="2:14" x14ac:dyDescent="0.2">
      <c r="B16" s="4"/>
      <c r="C16" s="12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5"/>
    </row>
    <row r="17" spans="2:14" x14ac:dyDescent="0.2">
      <c r="B17" s="53" t="s">
        <v>307</v>
      </c>
      <c r="C17" s="12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5"/>
    </row>
    <row r="18" spans="2:14" x14ac:dyDescent="0.2">
      <c r="B18" s="4" t="s">
        <v>374</v>
      </c>
      <c r="C18" s="12"/>
      <c r="D18" s="244">
        <f>(D14-D15*'Assumptions-Parking'!$J$12)*'Assumptions-Parking'!$J$20*(1+'Assumptions-Overall'!$C$38)^('CashFlow-Parking'!D$7-1)</f>
        <v>0</v>
      </c>
      <c r="E18" s="244">
        <f>(E14-E15*'Assumptions-Parking'!$J$12)*'Assumptions-Parking'!$J$20*(1+'Assumptions-Overall'!$C$38)^('CashFlow-Parking'!E$7-1)</f>
        <v>0</v>
      </c>
      <c r="F18" s="244">
        <f>(F14-F15*'Assumptions-Parking'!$J$12)*'Assumptions-Parking'!$J$20*(1+'Assumptions-Overall'!$C$38)^('CashFlow-Parking'!F$7-1)</f>
        <v>0</v>
      </c>
      <c r="G18" s="244">
        <f>(G14-G15*'Assumptions-Parking'!$J$12)*'Assumptions-Parking'!$J$20*(1+'Assumptions-Overall'!$C$38)^('CashFlow-Parking'!G$7-1)</f>
        <v>0</v>
      </c>
      <c r="H18" s="244">
        <f>(H14-H15*'Assumptions-Parking'!$J$12)*'Assumptions-Parking'!$J$20*(1+'Assumptions-Overall'!$C$38)^('CashFlow-Parking'!H$7-1)</f>
        <v>18808.917480750002</v>
      </c>
      <c r="I18" s="244">
        <f>(I14-I15*'Assumptions-Parking'!$J$12)*'Assumptions-Parking'!$J$20*(1+'Assumptions-Overall'!$C$38)^('CashFlow-Parking'!I$7-1)</f>
        <v>18997.006655557499</v>
      </c>
      <c r="J18" s="244">
        <f>(J14-J15*'Assumptions-Parking'!$J$12)*'Assumptions-Parking'!$J$20*(1+'Assumptions-Overall'!$C$38)^('CashFlow-Parking'!J$7-1)</f>
        <v>19186.976722113079</v>
      </c>
      <c r="K18" s="244">
        <f>(K14-K15*'Assumptions-Parking'!$J$12)*'Assumptions-Parking'!$J$20*(1+'Assumptions-Overall'!$C$38)^('CashFlow-Parking'!K$7-1)</f>
        <v>19378.846489334202</v>
      </c>
      <c r="L18" s="244">
        <f>(L14-L15*'Assumptions-Parking'!$J$12)*'Assumptions-Parking'!$J$20*(1+'Assumptions-Overall'!$C$38)^('CashFlow-Parking'!L$7-1)</f>
        <v>19572.634954227549</v>
      </c>
      <c r="M18" s="244">
        <f>(M14-M15*'Assumptions-Parking'!$J$12)*'Assumptions-Parking'!$J$20*(1+'Assumptions-Overall'!$C$38)^('CashFlow-Parking'!M$7-1)</f>
        <v>19768.361303769827</v>
      </c>
      <c r="N18" s="245">
        <f>(N14-N15*'Assumptions-Parking'!$J$12)*'Assumptions-Parking'!$J$20*(1+'Assumptions-Overall'!$C$38)^('CashFlow-Parking'!N$7-1)</f>
        <v>19966.044916807525</v>
      </c>
    </row>
    <row r="19" spans="2:14" x14ac:dyDescent="0.2"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2:14" x14ac:dyDescent="0.2">
      <c r="B20" s="53" t="s">
        <v>209</v>
      </c>
      <c r="C20" s="1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7"/>
    </row>
    <row r="21" spans="2:14" x14ac:dyDescent="0.2">
      <c r="B21" s="4" t="s">
        <v>311</v>
      </c>
      <c r="C21" s="12"/>
      <c r="D21" s="242">
        <f>-(AND(D$8&gt;=YEAR(PhaseIConBegin),D$8&lt;=YEAR(PhaseIConEnd)))*SUM($D12:$N12)*('Assumptions-Overall'!$M$33)*(1+'Assumptions-Overall'!$C$41)^('CashFlow-Parking'!D$7-1)/(YEAR(PhaseIConEnd)-YEAR(PhaseIConBegin)+1)</f>
        <v>0</v>
      </c>
      <c r="E21" s="242">
        <f>-(AND(E$8&gt;=YEAR(PhaseIConBegin),E$8&lt;=YEAR(PhaseIConEnd)))*SUM($D12:$N12)*('Assumptions-Overall'!$M$33)*(1+'Assumptions-Overall'!$C$41)^('CashFlow-Parking'!E$7-1)/(YEAR(PhaseIConEnd)-YEAR(PhaseIConBegin)+1)</f>
        <v>0</v>
      </c>
      <c r="F21" s="242">
        <f>-(AND(F$8&gt;=YEAR(PhaseIConBegin),F$8&lt;=YEAR(PhaseIConEnd)))*SUM($D12:$N12)*('Assumptions-Overall'!$M$33)*(1+'Assumptions-Overall'!$C$41)^('CashFlow-Parking'!F$7-1)/(YEAR(PhaseIConEnd)-YEAR(PhaseIConBegin)+1)</f>
        <v>-6351343.0750000002</v>
      </c>
      <c r="G21" s="242">
        <f>-(AND(G$8&gt;=YEAR(PhaseIConBegin),G$8&lt;=YEAR(PhaseIConEnd)))*SUM($D12:$N12)*('Assumptions-Overall'!$M$33)*(1+'Assumptions-Overall'!$C$41)^('CashFlow-Parking'!G$7-1)/(YEAR(PhaseIConEnd)-YEAR(PhaseIConBegin)+1)</f>
        <v>-6541883.3672500001</v>
      </c>
      <c r="H21" s="242">
        <f>-(AND(H$8&gt;=YEAR(PhaseIConBegin),H$8&lt;=YEAR(PhaseIConEnd)))*SUM($D12:$N12)*('Assumptions-Overall'!$M$33)*(1+'Assumptions-Overall'!$C$41)^('CashFlow-Parking'!H$7-1)/(YEAR(PhaseIConEnd)-YEAR(PhaseIConBegin)+1)</f>
        <v>0</v>
      </c>
      <c r="I21" s="242">
        <f>-(AND(I$8&gt;=YEAR(PhaseIConBegin),I$8&lt;=YEAR(PhaseIConEnd)))*SUM($D12:$N12)*('Assumptions-Overall'!$M$33)*(1+'Assumptions-Overall'!$C$41)^('CashFlow-Parking'!I$7-1)/(YEAR(PhaseIConEnd)-YEAR(PhaseIConBegin)+1)</f>
        <v>0</v>
      </c>
      <c r="J21" s="242">
        <f>-(AND(J$8&gt;=YEAR(PhaseIConBegin),J$8&lt;=YEAR(PhaseIConEnd)))*SUM($D12:$N12)*('Assumptions-Overall'!$M$33)*(1+'Assumptions-Overall'!$C$41)^('CashFlow-Parking'!J$7-1)/(YEAR(PhaseIConEnd)-YEAR(PhaseIConBegin)+1)</f>
        <v>0</v>
      </c>
      <c r="K21" s="242">
        <f>-(AND(K$8&gt;=YEAR(PhaseIConBegin),K$8&lt;=YEAR(PhaseIConEnd)))*SUM($D12:$N12)*('Assumptions-Overall'!$M$33)*(1+'Assumptions-Overall'!$C$41)^('CashFlow-Parking'!K$7-1)/(YEAR(PhaseIConEnd)-YEAR(PhaseIConBegin)+1)</f>
        <v>0</v>
      </c>
      <c r="L21" s="242">
        <f>-(AND(L$8&gt;=YEAR(PhaseIConBegin),L$8&lt;=YEAR(PhaseIConEnd)))*SUM($D12:$N12)*('Assumptions-Overall'!$M$33)*(1+'Assumptions-Overall'!$C$41)^('CashFlow-Parking'!L$7-1)/(YEAR(PhaseIConEnd)-YEAR(PhaseIConBegin)+1)</f>
        <v>0</v>
      </c>
      <c r="M21" s="242">
        <f>-(AND(M$8&gt;=YEAR(PhaseIConBegin),M$8&lt;=YEAR(PhaseIConEnd)))*SUM($D12:$N12)*('Assumptions-Overall'!$M$33)*(1+'Assumptions-Overall'!$C$41)^('CashFlow-Parking'!M$7-1)/(YEAR(PhaseIConEnd)-YEAR(PhaseIConBegin)+1)</f>
        <v>0</v>
      </c>
      <c r="N21" s="247"/>
    </row>
    <row r="22" spans="2:14" x14ac:dyDescent="0.2">
      <c r="B22" s="4" t="s">
        <v>312</v>
      </c>
      <c r="C22" s="12"/>
      <c r="D22" s="242">
        <f>(AND(D$8&gt;=YEAR(PhaseIPreconBegin),D$8&lt;=YEAR(PhaseIConEnd)))*SUM($D21:$N21)*'Assumptions-Overall'!$H$43/(YEAR(PhaseIConEnd)-YEAR(PhaseIPreconBegin)+1)</f>
        <v>-193398.39663375</v>
      </c>
      <c r="E22" s="242">
        <f>(AND(E$8&gt;=YEAR(PhaseIPreconBegin),E$8&lt;=YEAR(PhaseIConEnd)))*SUM($D21:$N21)*'Assumptions-Overall'!$H$43/(YEAR(PhaseIConEnd)-YEAR(PhaseIPreconBegin)+1)</f>
        <v>-193398.39663375</v>
      </c>
      <c r="F22" s="242">
        <f>(AND(F$8&gt;=YEAR(PhaseIPreconBegin),F$8&lt;=YEAR(PhaseIConEnd)))*SUM($D21:$N21)*'Assumptions-Overall'!$H$43/(YEAR(PhaseIConEnd)-YEAR(PhaseIPreconBegin)+1)</f>
        <v>-193398.39663375</v>
      </c>
      <c r="G22" s="242">
        <f>(AND(G$8&gt;=YEAR(PhaseIPreconBegin),G$8&lt;=YEAR(PhaseIConEnd)))*SUM($D21:$N21)*'Assumptions-Overall'!$H$43/(YEAR(PhaseIConEnd)-YEAR(PhaseIPreconBegin)+1)</f>
        <v>-193398.39663375</v>
      </c>
      <c r="H22" s="242">
        <f>(AND(H$8&gt;=YEAR(PhaseIPreconBegin),H$8&lt;=YEAR(PhaseIConEnd)))*SUM($D21:$N21)*'Assumptions-Overall'!$H$43/(YEAR(PhaseIConEnd)-YEAR(PhaseIPreconBegin)+1)</f>
        <v>0</v>
      </c>
      <c r="I22" s="242">
        <f>(AND(I$8&gt;=YEAR(PhaseIPreconBegin),I$8&lt;=YEAR(PhaseIConEnd)))*SUM($D21:$N21)*'Assumptions-Overall'!$H$43/(YEAR(PhaseIConEnd)-YEAR(PhaseIPreconBegin)+1)</f>
        <v>0</v>
      </c>
      <c r="J22" s="242">
        <f>(AND(J$8&gt;=YEAR(PhaseIPreconBegin),J$8&lt;=YEAR(PhaseIConEnd)))*SUM($D21:$N21)*'Assumptions-Overall'!$H$43/(YEAR(PhaseIConEnd)-YEAR(PhaseIPreconBegin)+1)</f>
        <v>0</v>
      </c>
      <c r="K22" s="242">
        <f>(AND(K$8&gt;=YEAR(PhaseIPreconBegin),K$8&lt;=YEAR(PhaseIConEnd)))*SUM($D21:$N21)*'Assumptions-Overall'!$H$43/(YEAR(PhaseIConEnd)-YEAR(PhaseIPreconBegin)+1)</f>
        <v>0</v>
      </c>
      <c r="L22" s="242">
        <f>(AND(L$8&gt;=YEAR(PhaseIPreconBegin),L$8&lt;=YEAR(PhaseIConEnd)))*SUM($D21:$N21)*'Assumptions-Overall'!$H$43/(YEAR(PhaseIConEnd)-YEAR(PhaseIPreconBegin)+1)</f>
        <v>0</v>
      </c>
      <c r="M22" s="242">
        <f>(AND(M$8&gt;=YEAR(PhaseIPreconBegin),M$8&lt;=YEAR(PhaseIConEnd)))*SUM($D21:$N21)*'Assumptions-Overall'!$H$43/(YEAR(PhaseIConEnd)-YEAR(PhaseIPreconBegin)+1)</f>
        <v>0</v>
      </c>
      <c r="N22" s="247"/>
    </row>
    <row r="23" spans="2:14" x14ac:dyDescent="0.2">
      <c r="B23" s="4" t="s">
        <v>183</v>
      </c>
      <c r="C23" s="12"/>
      <c r="D23" s="242">
        <f>(AND(D$8&gt;=YEAR(PhaseIPreconBegin),D$8&lt;=YEAR(PhaseIConEnd)))*SUM($D21:$N21)*'Assumptions-Overall'!$H$44/(YEAR(PhaseIConEnd)-YEAR(PhaseIPreconBegin)+1)</f>
        <v>-483495.99158437498</v>
      </c>
      <c r="E23" s="242">
        <f>(AND(E$8&gt;=YEAR(PhaseIPreconBegin),E$8&lt;=YEAR(PhaseIConEnd)))*SUM($D21:$N21)*'Assumptions-Overall'!$H$44/(YEAR(PhaseIConEnd)-YEAR(PhaseIPreconBegin)+1)</f>
        <v>-483495.99158437498</v>
      </c>
      <c r="F23" s="242">
        <f>(AND(F$8&gt;=YEAR(PhaseIPreconBegin),F$8&lt;=YEAR(PhaseIConEnd)))*SUM($D21:$N21)*'Assumptions-Overall'!$H$44/(YEAR(PhaseIConEnd)-YEAR(PhaseIPreconBegin)+1)</f>
        <v>-483495.99158437498</v>
      </c>
      <c r="G23" s="242">
        <f>(AND(G$8&gt;=YEAR(PhaseIPreconBegin),G$8&lt;=YEAR(PhaseIConEnd)))*SUM($D21:$N21)*'Assumptions-Overall'!$H$44/(YEAR(PhaseIConEnd)-YEAR(PhaseIPreconBegin)+1)</f>
        <v>-483495.99158437498</v>
      </c>
      <c r="H23" s="242">
        <f>(AND(H$8&gt;=YEAR(PhaseIPreconBegin),H$8&lt;=YEAR(PhaseIConEnd)))*SUM($D21:$N21)*'Assumptions-Overall'!$H$44/(YEAR(PhaseIConEnd)-YEAR(PhaseIPreconBegin)+1)</f>
        <v>0</v>
      </c>
      <c r="I23" s="242">
        <f>(AND(I$8&gt;=YEAR(PhaseIPreconBegin),I$8&lt;=YEAR(PhaseIConEnd)))*SUM($D21:$N21)*'Assumptions-Overall'!$H$44/(YEAR(PhaseIConEnd)-YEAR(PhaseIPreconBegin)+1)</f>
        <v>0</v>
      </c>
      <c r="J23" s="242">
        <f>(AND(J$8&gt;=YEAR(PhaseIPreconBegin),J$8&lt;=YEAR(PhaseIConEnd)))*SUM($D21:$N21)*'Assumptions-Overall'!$H$44/(YEAR(PhaseIConEnd)-YEAR(PhaseIPreconBegin)+1)</f>
        <v>0</v>
      </c>
      <c r="K23" s="242">
        <f>(AND(K$8&gt;=YEAR(PhaseIPreconBegin),K$8&lt;=YEAR(PhaseIConEnd)))*SUM($D21:$N21)*'Assumptions-Overall'!$H$44/(YEAR(PhaseIConEnd)-YEAR(PhaseIPreconBegin)+1)</f>
        <v>0</v>
      </c>
      <c r="L23" s="242">
        <f>(AND(L$8&gt;=YEAR(PhaseIPreconBegin),L$8&lt;=YEAR(PhaseIConEnd)))*SUM($D21:$N21)*'Assumptions-Overall'!$H$44/(YEAR(PhaseIConEnd)-YEAR(PhaseIPreconBegin)+1)</f>
        <v>0</v>
      </c>
      <c r="M23" s="242">
        <f>(AND(M$8&gt;=YEAR(PhaseIPreconBegin),M$8&lt;=YEAR(PhaseIConEnd)))*SUM($D21:$N21)*'Assumptions-Overall'!$H$44/(YEAR(PhaseIConEnd)-YEAR(PhaseIPreconBegin)+1)</f>
        <v>0</v>
      </c>
      <c r="N23" s="247"/>
    </row>
    <row r="24" spans="2:14" x14ac:dyDescent="0.2">
      <c r="B24" s="4" t="s">
        <v>184</v>
      </c>
      <c r="C24" s="12"/>
      <c r="D24" s="240">
        <f>SUM(D21:D23)*'Assumptions-Overall'!$H$45</f>
        <v>-20306.831646543749</v>
      </c>
      <c r="E24" s="240">
        <f>SUM(E21:E23)*'Assumptions-Overall'!$H$45</f>
        <v>-20306.831646543749</v>
      </c>
      <c r="F24" s="240">
        <f>SUM(F21:F23)*'Assumptions-Overall'!$H$45</f>
        <v>-210847.12389654372</v>
      </c>
      <c r="G24" s="240">
        <f>SUM(G21:G23)*'Assumptions-Overall'!$H$45</f>
        <v>-216563.33266404373</v>
      </c>
      <c r="H24" s="240">
        <f>SUM(H21:H23)*'Assumptions-Overall'!$H$45</f>
        <v>0</v>
      </c>
      <c r="I24" s="240">
        <f>SUM(I21:I23)*'Assumptions-Overall'!$H$45</f>
        <v>0</v>
      </c>
      <c r="J24" s="240">
        <f>SUM(J21:J23)*'Assumptions-Overall'!$H$45</f>
        <v>0</v>
      </c>
      <c r="K24" s="240">
        <f>SUM(K21:K23)*'Assumptions-Overall'!$H$45</f>
        <v>0</v>
      </c>
      <c r="L24" s="240">
        <f>SUM(L21:L23)*'Assumptions-Overall'!$H$45</f>
        <v>0</v>
      </c>
      <c r="M24" s="240">
        <f>SUM(M21:M23)*'Assumptions-Overall'!$H$45</f>
        <v>0</v>
      </c>
      <c r="N24" s="247"/>
    </row>
    <row r="25" spans="2:14" x14ac:dyDescent="0.2">
      <c r="B25" s="4" t="s">
        <v>313</v>
      </c>
      <c r="C25" s="12"/>
      <c r="D25" s="242">
        <f>SUM(D21:D24)</f>
        <v>-697201.21986466867</v>
      </c>
      <c r="E25" s="242">
        <f t="shared" ref="E25:M25" si="2">SUM(E21:E24)</f>
        <v>-697201.21986466867</v>
      </c>
      <c r="F25" s="242">
        <f t="shared" si="2"/>
        <v>-7239084.5871146685</v>
      </c>
      <c r="G25" s="242">
        <f t="shared" si="2"/>
        <v>-7435341.0881321682</v>
      </c>
      <c r="H25" s="242">
        <f t="shared" si="2"/>
        <v>0</v>
      </c>
      <c r="I25" s="242">
        <f t="shared" si="2"/>
        <v>0</v>
      </c>
      <c r="J25" s="242">
        <f t="shared" si="2"/>
        <v>0</v>
      </c>
      <c r="K25" s="242">
        <f t="shared" si="2"/>
        <v>0</v>
      </c>
      <c r="L25" s="242">
        <f t="shared" si="2"/>
        <v>0</v>
      </c>
      <c r="M25" s="242">
        <f t="shared" si="2"/>
        <v>0</v>
      </c>
      <c r="N25" s="247"/>
    </row>
    <row r="26" spans="2:14" x14ac:dyDescent="0.2">
      <c r="B26" s="4"/>
      <c r="C26" s="1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7"/>
    </row>
    <row r="27" spans="2:14" x14ac:dyDescent="0.2">
      <c r="B27" s="53" t="s">
        <v>258</v>
      </c>
      <c r="C27" s="1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7"/>
    </row>
    <row r="28" spans="2:14" x14ac:dyDescent="0.2">
      <c r="B28" s="4" t="s">
        <v>376</v>
      </c>
      <c r="C28" s="12"/>
      <c r="D28" s="268">
        <f>(D15-C15)*'Assumptions-Parking'!$J$12*'Assumptions-Parking'!$J$13*(1+'Assumptions-Overall'!$C$38)^('CashFlow-Parking'!D$7-1)</f>
        <v>0</v>
      </c>
      <c r="E28" s="268">
        <f>(E15-D15)*'Assumptions-Parking'!$J$12*'Assumptions-Parking'!$J$13*(1+'Assumptions-Overall'!$C$38)^('CashFlow-Parking'!E$7-1)</f>
        <v>0</v>
      </c>
      <c r="F28" s="268">
        <f>(F15-E15)*'Assumptions-Parking'!$J$12*'Assumptions-Parking'!$J$13*(1+'Assumptions-Overall'!$C$38)^('CashFlow-Parking'!F$7-1)</f>
        <v>0</v>
      </c>
      <c r="G28" s="268">
        <f>(G15-F15)*'Assumptions-Parking'!$J$12*'Assumptions-Parking'!$J$13*(1+'Assumptions-Overall'!$C$38)^('CashFlow-Parking'!G$7-1)</f>
        <v>0</v>
      </c>
      <c r="H28" s="268">
        <f>(H15-G15)*'Assumptions-Parking'!$J$12*'Assumptions-Parking'!$J$13*(1+'Assumptions-Overall'!$C$38)^('CashFlow-Parking'!H$7-1)</f>
        <v>7929402.5562000005</v>
      </c>
      <c r="I28" s="268">
        <f>(I15-H15)*'Assumptions-Parking'!$J$12*'Assumptions-Parking'!$J$13*(1+'Assumptions-Overall'!$C$38)^('CashFlow-Parking'!I$7-1)</f>
        <v>0</v>
      </c>
      <c r="J28" s="268">
        <f>(J15-I15)*'Assumptions-Parking'!$J$12*'Assumptions-Parking'!$J$13*(1+'Assumptions-Overall'!$C$38)^('CashFlow-Parking'!J$7-1)</f>
        <v>0</v>
      </c>
      <c r="K28" s="268">
        <f>(K15-J15)*'Assumptions-Parking'!$J$12*'Assumptions-Parking'!$J$13*(1+'Assumptions-Overall'!$C$38)^('CashFlow-Parking'!K$7-1)</f>
        <v>0</v>
      </c>
      <c r="L28" s="268">
        <f>(L15-K15)*'Assumptions-Parking'!$J$12*'Assumptions-Parking'!$J$13*(1+'Assumptions-Overall'!$C$38)^('CashFlow-Parking'!L$7-1)</f>
        <v>0</v>
      </c>
      <c r="M28" s="268">
        <f>(M15-L15)*'Assumptions-Parking'!$J$12*'Assumptions-Parking'!$J$13*(1+'Assumptions-Overall'!$C$38)^('CashFlow-Parking'!M$7-1)</f>
        <v>0</v>
      </c>
      <c r="N28" s="247"/>
    </row>
    <row r="29" spans="2:14" x14ac:dyDescent="0.2">
      <c r="B29" s="4" t="s">
        <v>317</v>
      </c>
      <c r="C29" s="12"/>
      <c r="D29" s="240">
        <f>-D28*'Assumptions-ResCondo'!$I$20</f>
        <v>0</v>
      </c>
      <c r="E29" s="240">
        <f>-E28*'Assumptions-ResCondo'!$I$20</f>
        <v>0</v>
      </c>
      <c r="F29" s="240">
        <f>-F28*'Assumptions-ResCondo'!$I$20</f>
        <v>0</v>
      </c>
      <c r="G29" s="240">
        <f>-G28*'Assumptions-ResCondo'!$I$20</f>
        <v>0</v>
      </c>
      <c r="H29" s="240">
        <f>-H28*'Assumptions-ResCondo'!$I$20</f>
        <v>-237882.07668600001</v>
      </c>
      <c r="I29" s="240">
        <f>-I28*'Assumptions-ResCondo'!$I$20</f>
        <v>0</v>
      </c>
      <c r="J29" s="240">
        <f>-J28*'Assumptions-ResCondo'!$I$20</f>
        <v>0</v>
      </c>
      <c r="K29" s="240">
        <f>-K28*'Assumptions-ResCondo'!$I$20</f>
        <v>0</v>
      </c>
      <c r="L29" s="240">
        <f>-L28*'Assumptions-ResCondo'!$I$20</f>
        <v>0</v>
      </c>
      <c r="M29" s="240">
        <f>-M28*'Assumptions-ResCondo'!$I$20</f>
        <v>0</v>
      </c>
      <c r="N29" s="247"/>
    </row>
    <row r="30" spans="2:14" x14ac:dyDescent="0.2">
      <c r="B30" s="4" t="s">
        <v>322</v>
      </c>
      <c r="C30" s="12"/>
      <c r="D30" s="242">
        <f>SUM(D28:D29)</f>
        <v>0</v>
      </c>
      <c r="E30" s="242">
        <f t="shared" ref="E30:M30" si="3">SUM(E28:E29)</f>
        <v>0</v>
      </c>
      <c r="F30" s="242">
        <f t="shared" si="3"/>
        <v>0</v>
      </c>
      <c r="G30" s="242">
        <f t="shared" si="3"/>
        <v>0</v>
      </c>
      <c r="H30" s="242">
        <f t="shared" si="3"/>
        <v>7691520.479514</v>
      </c>
      <c r="I30" s="242">
        <f t="shared" si="3"/>
        <v>0</v>
      </c>
      <c r="J30" s="242">
        <f t="shared" si="3"/>
        <v>0</v>
      </c>
      <c r="K30" s="242">
        <f t="shared" si="3"/>
        <v>0</v>
      </c>
      <c r="L30" s="242">
        <f t="shared" si="3"/>
        <v>0</v>
      </c>
      <c r="M30" s="242">
        <f t="shared" si="3"/>
        <v>0</v>
      </c>
      <c r="N30" s="247"/>
    </row>
    <row r="31" spans="2:14" x14ac:dyDescent="0.2">
      <c r="B31" s="4"/>
      <c r="C31" s="1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7"/>
    </row>
    <row r="32" spans="2:14" x14ac:dyDescent="0.2">
      <c r="B32" s="53" t="s">
        <v>314</v>
      </c>
      <c r="C32" s="1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7"/>
    </row>
    <row r="33" spans="2:14" x14ac:dyDescent="0.2">
      <c r="B33" s="4" t="s">
        <v>316</v>
      </c>
      <c r="C33" s="12"/>
      <c r="D33" s="242">
        <f>(D$8=YEAR('Assumptions-Overall'!$C$30))*E18/0.05</f>
        <v>0</v>
      </c>
      <c r="E33" s="242">
        <f>(E$8=YEAR('Assumptions-Overall'!$C$30))*F18/0.05</f>
        <v>0</v>
      </c>
      <c r="F33" s="242">
        <f>(F$8=YEAR('Assumptions-Overall'!$C$30))*G18/0.05</f>
        <v>0</v>
      </c>
      <c r="G33" s="242">
        <f>(G$8=YEAR('Assumptions-Overall'!$C$30))*H18/0.05</f>
        <v>0</v>
      </c>
      <c r="H33" s="242">
        <f>(H$8=YEAR('Assumptions-Overall'!$C$30))*I18/0.05</f>
        <v>0</v>
      </c>
      <c r="I33" s="242">
        <f>(I$8=YEAR('Assumptions-Overall'!$C$30))*J18/0.05</f>
        <v>0</v>
      </c>
      <c r="J33" s="242">
        <f>(J$8=YEAR('Assumptions-Overall'!$C$30))*K18/0.05</f>
        <v>0</v>
      </c>
      <c r="K33" s="242">
        <f>(K$8=YEAR('Assumptions-Overall'!$C$30))*L18/0.05</f>
        <v>0</v>
      </c>
      <c r="L33" s="242">
        <f>(L$8=YEAR('Assumptions-Overall'!$C$30))*M18/0.05</f>
        <v>0</v>
      </c>
      <c r="M33" s="242">
        <f>(M$8=YEAR('Assumptions-Overall'!$C$30))*N18/0.05</f>
        <v>399320.89833615045</v>
      </c>
      <c r="N33" s="247"/>
    </row>
    <row r="34" spans="2:14" x14ac:dyDescent="0.2">
      <c r="B34" s="4" t="s">
        <v>317</v>
      </c>
      <c r="C34" s="12"/>
      <c r="D34" s="240">
        <f>-D33*'Assumptions-Overall'!$U$27</f>
        <v>0</v>
      </c>
      <c r="E34" s="240">
        <f>-E33*'Assumptions-Overall'!$U$27</f>
        <v>0</v>
      </c>
      <c r="F34" s="240">
        <f>-F33*'Assumptions-Overall'!$U$27</f>
        <v>0</v>
      </c>
      <c r="G34" s="240">
        <f>-G33*'Assumptions-Overall'!$U$27</f>
        <v>0</v>
      </c>
      <c r="H34" s="240">
        <f>-H33*'Assumptions-Overall'!$U$27</f>
        <v>0</v>
      </c>
      <c r="I34" s="240">
        <f>-I33*'Assumptions-Overall'!$U$27</f>
        <v>0</v>
      </c>
      <c r="J34" s="240">
        <f>-J33*'Assumptions-Overall'!$U$27</f>
        <v>0</v>
      </c>
      <c r="K34" s="240">
        <f>-K33*'Assumptions-Overall'!$U$27</f>
        <v>0</v>
      </c>
      <c r="L34" s="240">
        <f>-L33*'Assumptions-Overall'!$U$27</f>
        <v>0</v>
      </c>
      <c r="M34" s="240">
        <f>-M33*'Assumptions-Overall'!$U$27</f>
        <v>-3993.2089833615046</v>
      </c>
      <c r="N34" s="247"/>
    </row>
    <row r="35" spans="2:14" x14ac:dyDescent="0.2">
      <c r="B35" s="4" t="s">
        <v>318</v>
      </c>
      <c r="C35" s="12"/>
      <c r="D35" s="242">
        <f>SUM(D33:D34)</f>
        <v>0</v>
      </c>
      <c r="E35" s="242">
        <f t="shared" ref="E35:M35" si="4">SUM(E33:E34)</f>
        <v>0</v>
      </c>
      <c r="F35" s="242">
        <f t="shared" si="4"/>
        <v>0</v>
      </c>
      <c r="G35" s="242">
        <f t="shared" si="4"/>
        <v>0</v>
      </c>
      <c r="H35" s="242">
        <f t="shared" si="4"/>
        <v>0</v>
      </c>
      <c r="I35" s="242">
        <f t="shared" si="4"/>
        <v>0</v>
      </c>
      <c r="J35" s="242">
        <f t="shared" si="4"/>
        <v>0</v>
      </c>
      <c r="K35" s="242">
        <f t="shared" si="4"/>
        <v>0</v>
      </c>
      <c r="L35" s="242">
        <f t="shared" si="4"/>
        <v>0</v>
      </c>
      <c r="M35" s="242">
        <f t="shared" si="4"/>
        <v>395327.68935278896</v>
      </c>
      <c r="N35" s="247"/>
    </row>
    <row r="36" spans="2:14" x14ac:dyDescent="0.2">
      <c r="B36" s="4"/>
      <c r="C36" s="1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7"/>
    </row>
    <row r="37" spans="2:14" x14ac:dyDescent="0.2">
      <c r="B37" s="4" t="s">
        <v>315</v>
      </c>
      <c r="C37" s="12"/>
      <c r="D37" s="242">
        <f>D18+D25+D30+D35</f>
        <v>-697201.21986466867</v>
      </c>
      <c r="E37" s="242">
        <f t="shared" ref="E37:M37" si="5">E18+E25+E30+E35</f>
        <v>-697201.21986466867</v>
      </c>
      <c r="F37" s="242">
        <f t="shared" si="5"/>
        <v>-7239084.5871146685</v>
      </c>
      <c r="G37" s="242">
        <f t="shared" si="5"/>
        <v>-7435341.0881321682</v>
      </c>
      <c r="H37" s="242">
        <f t="shared" si="5"/>
        <v>7710329.39699475</v>
      </c>
      <c r="I37" s="242">
        <f t="shared" si="5"/>
        <v>18997.006655557499</v>
      </c>
      <c r="J37" s="242">
        <f t="shared" si="5"/>
        <v>19186.976722113079</v>
      </c>
      <c r="K37" s="242">
        <f t="shared" si="5"/>
        <v>19378.846489334202</v>
      </c>
      <c r="L37" s="242">
        <f t="shared" si="5"/>
        <v>19572.634954227549</v>
      </c>
      <c r="M37" s="242">
        <f t="shared" si="5"/>
        <v>415096.05065655877</v>
      </c>
      <c r="N37" s="247"/>
    </row>
    <row r="38" spans="2:14" x14ac:dyDescent="0.2">
      <c r="B38" s="4" t="s">
        <v>320</v>
      </c>
      <c r="C38" s="254">
        <f>IFERROR(IRR(D37:M37),"n/a")</f>
        <v>-0.26597366984294413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7"/>
    </row>
    <row r="39" spans="2:14" ht="12.75" thickBot="1" x14ac:dyDescent="0.25">
      <c r="B39" s="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2:14" x14ac:dyDescent="0.2">
      <c r="B40" s="250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2"/>
    </row>
    <row r="41" spans="2:14" x14ac:dyDescent="0.2">
      <c r="B41" s="243" t="s">
        <v>297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2:14" x14ac:dyDescent="0.2">
      <c r="B42" s="4" t="s">
        <v>293</v>
      </c>
      <c r="C42" s="12"/>
      <c r="D42" s="244">
        <f>(D$8&gt;=YEAR(PhaseIIComplete))*'Assumptions-Parking'!$E$29*350</f>
        <v>0</v>
      </c>
      <c r="E42" s="244">
        <f>(E$8&gt;=YEAR(PhaseIIComplete))*'Assumptions-Parking'!$E$29*350</f>
        <v>0</v>
      </c>
      <c r="F42" s="244">
        <f>(F$8&gt;=YEAR(PhaseIIComplete))*'Assumptions-Parking'!$E$29*350</f>
        <v>0</v>
      </c>
      <c r="G42" s="244">
        <f>(G$8&gt;=YEAR(PhaseIIComplete))*'Assumptions-Parking'!$E$29*350</f>
        <v>0</v>
      </c>
      <c r="H42" s="244">
        <f>(H$8&gt;=YEAR(PhaseIIComplete))*'Assumptions-Parking'!$E$29*350</f>
        <v>0</v>
      </c>
      <c r="I42" s="244">
        <f>(I$8&gt;=YEAR(PhaseIIComplete))*'Assumptions-Parking'!$E$29*350</f>
        <v>0</v>
      </c>
      <c r="J42" s="244">
        <f>(J$8&gt;=YEAR(PhaseIIComplete))*'Assumptions-Parking'!$E$29*350</f>
        <v>432250</v>
      </c>
      <c r="K42" s="244">
        <f>(K$8&gt;=YEAR(PhaseIIComplete))*'Assumptions-Parking'!$E$29*350</f>
        <v>432250</v>
      </c>
      <c r="L42" s="244">
        <f>(L$8&gt;=YEAR(PhaseIIComplete))*'Assumptions-Parking'!$E$29*350</f>
        <v>432250</v>
      </c>
      <c r="M42" s="244">
        <f>(M$8&gt;=YEAR(PhaseIIComplete))*'Assumptions-Parking'!$E$29*350</f>
        <v>432250</v>
      </c>
      <c r="N42" s="245">
        <f>(N$8&gt;=YEAR(PhaseIIComplete))*'Assumptions-Parking'!$E$29*350</f>
        <v>432250</v>
      </c>
    </row>
    <row r="43" spans="2:14" x14ac:dyDescent="0.2">
      <c r="B43" s="4" t="s">
        <v>294</v>
      </c>
      <c r="C43" s="12"/>
      <c r="D43" s="244">
        <f>D42-C42</f>
        <v>0</v>
      </c>
      <c r="E43" s="244">
        <f t="shared" ref="E43" si="6">E42-D42</f>
        <v>0</v>
      </c>
      <c r="F43" s="244">
        <f t="shared" ref="F43" si="7">F42-E42</f>
        <v>0</v>
      </c>
      <c r="G43" s="244">
        <f t="shared" ref="G43" si="8">G42-F42</f>
        <v>0</v>
      </c>
      <c r="H43" s="244">
        <f t="shared" ref="H43" si="9">H42-G42</f>
        <v>0</v>
      </c>
      <c r="I43" s="244">
        <f t="shared" ref="I43" si="10">I42-H42</f>
        <v>0</v>
      </c>
      <c r="J43" s="244">
        <f t="shared" ref="J43" si="11">J42-I42</f>
        <v>432250</v>
      </c>
      <c r="K43" s="244">
        <f t="shared" ref="K43" si="12">K42-J42</f>
        <v>0</v>
      </c>
      <c r="L43" s="244">
        <f t="shared" ref="L43" si="13">L42-K42</f>
        <v>0</v>
      </c>
      <c r="M43" s="244">
        <f t="shared" ref="M43" si="14">M42-L42</f>
        <v>0</v>
      </c>
      <c r="N43" s="245">
        <f t="shared" ref="N43" si="15">N42-M42</f>
        <v>0</v>
      </c>
    </row>
    <row r="44" spans="2:14" x14ac:dyDescent="0.2">
      <c r="B44" s="4"/>
      <c r="C44" s="12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</row>
    <row r="45" spans="2:14" x14ac:dyDescent="0.2">
      <c r="B45" s="4" t="s">
        <v>375</v>
      </c>
      <c r="C45" s="12"/>
      <c r="D45" s="244">
        <f>(D$8&gt;=YEAR(PhaseIIComplete))*'Assumptions-Parking'!$E$29</f>
        <v>0</v>
      </c>
      <c r="E45" s="244">
        <f>(E$8&gt;=YEAR(PhaseIIComplete))*'Assumptions-Parking'!$E$29</f>
        <v>0</v>
      </c>
      <c r="F45" s="244">
        <f>(F$8&gt;=YEAR(PhaseIIComplete))*'Assumptions-Parking'!$E$29</f>
        <v>0</v>
      </c>
      <c r="G45" s="244">
        <f>(G$8&gt;=YEAR(PhaseIIComplete))*'Assumptions-Parking'!$E$29</f>
        <v>0</v>
      </c>
      <c r="H45" s="244">
        <f>(H$8&gt;=YEAR(PhaseIIComplete))*'Assumptions-Parking'!$E$29</f>
        <v>0</v>
      </c>
      <c r="I45" s="244">
        <f>(I$8&gt;=YEAR(PhaseIIComplete))*'Assumptions-Parking'!$E$29</f>
        <v>0</v>
      </c>
      <c r="J45" s="244">
        <f>(J$8&gt;=YEAR(PhaseIIComplete))*'Assumptions-Parking'!$E$29</f>
        <v>1235</v>
      </c>
      <c r="K45" s="244">
        <f>(K$8&gt;=YEAR(PhaseIIComplete))*'Assumptions-Parking'!$E$29</f>
        <v>1235</v>
      </c>
      <c r="L45" s="244">
        <f>(L$8&gt;=YEAR(PhaseIIComplete))*'Assumptions-Parking'!$E$29</f>
        <v>1235</v>
      </c>
      <c r="M45" s="244">
        <f>(M$8&gt;=YEAR(PhaseIIComplete))*'Assumptions-Parking'!$E$29</f>
        <v>1235</v>
      </c>
      <c r="N45" s="245">
        <f>(N$8&gt;=YEAR(PhaseIIComplete))*'Assumptions-Parking'!$E$29</f>
        <v>1235</v>
      </c>
    </row>
    <row r="46" spans="2:14" x14ac:dyDescent="0.2">
      <c r="B46" s="4" t="s">
        <v>373</v>
      </c>
      <c r="C46" s="12"/>
      <c r="D46" s="244">
        <f>SUM('CashFlow-ResCondo'!D49:D58,'CashFlow-ResCondo'!D83:D92)</f>
        <v>0</v>
      </c>
      <c r="E46" s="244">
        <f>SUM('CashFlow-ResCondo'!E49:E58,'CashFlow-ResCondo'!E83:E92)</f>
        <v>0</v>
      </c>
      <c r="F46" s="244">
        <f>SUM('CashFlow-ResCondo'!F49:F58,'CashFlow-ResCondo'!F83:F92)</f>
        <v>0</v>
      </c>
      <c r="G46" s="244">
        <f>SUM('CashFlow-ResCondo'!G49:G58,'CashFlow-ResCondo'!G83:G92)</f>
        <v>0</v>
      </c>
      <c r="H46" s="244">
        <f>SUM('CashFlow-ResCondo'!H49:H58,'CashFlow-ResCondo'!H83:H92)</f>
        <v>0</v>
      </c>
      <c r="I46" s="244">
        <f>SUM('CashFlow-ResCondo'!I49:I58,'CashFlow-ResCondo'!I83:I92)</f>
        <v>0</v>
      </c>
      <c r="J46" s="244">
        <f>SUM('CashFlow-ResCondo'!J49:J58,'CashFlow-ResCondo'!J83:J92)</f>
        <v>200</v>
      </c>
      <c r="K46" s="244">
        <f>SUM('CashFlow-ResCondo'!K49:K58,'CashFlow-ResCondo'!K83:K92)</f>
        <v>200</v>
      </c>
      <c r="L46" s="244">
        <f>SUM('CashFlow-ResCondo'!L49:L58,'CashFlow-ResCondo'!L83:L92)</f>
        <v>301</v>
      </c>
      <c r="M46" s="244">
        <f>SUM('CashFlow-ResCondo'!M49:M58,'CashFlow-ResCondo'!M83:M92)</f>
        <v>301</v>
      </c>
      <c r="N46" s="245">
        <f>SUM('CashFlow-ResCondo'!N49:N58,'CashFlow-ResCondo'!N83:N92)</f>
        <v>301</v>
      </c>
    </row>
    <row r="47" spans="2:14" x14ac:dyDescent="0.2">
      <c r="B47" s="4"/>
      <c r="C47" s="12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5"/>
    </row>
    <row r="48" spans="2:14" x14ac:dyDescent="0.2">
      <c r="B48" s="53" t="s">
        <v>307</v>
      </c>
      <c r="C48" s="12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5"/>
    </row>
    <row r="49" spans="2:14" x14ac:dyDescent="0.2">
      <c r="B49" s="4" t="s">
        <v>374</v>
      </c>
      <c r="C49" s="12"/>
      <c r="D49" s="244">
        <f>(D45-D46*'Assumptions-Parking'!$J$12)*'Assumptions-Parking'!$J$20*(1+'Assumptions-Overall'!$C$38)^('CashFlow-Parking'!D$7-1)</f>
        <v>0</v>
      </c>
      <c r="E49" s="244">
        <f>(E45-E46*'Assumptions-Parking'!$J$12)*'Assumptions-Parking'!$J$20*(1+'Assumptions-Overall'!$C$38)^('CashFlow-Parking'!E$7-1)</f>
        <v>0</v>
      </c>
      <c r="F49" s="244">
        <f>(F45-F46*'Assumptions-Parking'!$J$12)*'Assumptions-Parking'!$J$20*(1+'Assumptions-Overall'!$C$38)^('CashFlow-Parking'!F$7-1)</f>
        <v>0</v>
      </c>
      <c r="G49" s="244">
        <f>(G45-G46*'Assumptions-Parking'!$J$12)*'Assumptions-Parking'!$J$20*(1+'Assumptions-Overall'!$C$38)^('CashFlow-Parking'!G$7-1)</f>
        <v>0</v>
      </c>
      <c r="H49" s="244">
        <f>(H45-H46*'Assumptions-Parking'!$J$12)*'Assumptions-Parking'!$J$20*(1+'Assumptions-Overall'!$C$38)^('CashFlow-Parking'!H$7-1)</f>
        <v>0</v>
      </c>
      <c r="I49" s="244">
        <f>(I45-I46*'Assumptions-Parking'!$J$12)*'Assumptions-Parking'!$J$20*(1+'Assumptions-Overall'!$C$38)^('CashFlow-Parking'!I$7-1)</f>
        <v>0</v>
      </c>
      <c r="J49" s="244">
        <f>(J45-J46*'Assumptions-Parking'!$J$12)*'Assumptions-Parking'!$J$20*(1+'Assumptions-Overall'!$C$38)^('CashFlow-Parking'!J$7-1)</f>
        <v>180723.80563982026</v>
      </c>
      <c r="K49" s="244">
        <f>(K45-K46*'Assumptions-Parking'!$J$12)*'Assumptions-Parking'!$J$20*(1+'Assumptions-Overall'!$C$38)^('CashFlow-Parking'!K$7-1)</f>
        <v>182531.04369621843</v>
      </c>
      <c r="L49" s="244">
        <f>(L45-L46*'Assumptions-Parking'!$J$12)*'Assumptions-Parking'!$J$20*(1+'Assumptions-Overall'!$C$38)^('CashFlow-Parking'!L$7-1)</f>
        <v>176153.71458804797</v>
      </c>
      <c r="M49" s="244">
        <f>(M45-M46*'Assumptions-Parking'!$J$12)*'Assumptions-Parking'!$J$20*(1+'Assumptions-Overall'!$C$38)^('CashFlow-Parking'!M$7-1)</f>
        <v>177915.25173392845</v>
      </c>
      <c r="N49" s="245">
        <f>(N45-N46*'Assumptions-Parking'!$J$12)*'Assumptions-Parking'!$J$20*(1+'Assumptions-Overall'!$C$38)^('CashFlow-Parking'!N$7-1)</f>
        <v>179694.40425126773</v>
      </c>
    </row>
    <row r="50" spans="2:14" x14ac:dyDescent="0.2">
      <c r="B50" s="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2:14" x14ac:dyDescent="0.2">
      <c r="B51" s="53" t="s">
        <v>209</v>
      </c>
      <c r="C51" s="1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7"/>
    </row>
    <row r="52" spans="2:14" x14ac:dyDescent="0.2">
      <c r="B52" s="4" t="s">
        <v>311</v>
      </c>
      <c r="C52" s="12"/>
      <c r="D52" s="242">
        <f>-(AND(D$8&gt;=YEAR(PhaseIIConBegin),D$8&lt;=YEAR(PhaseIIConEnd)))*SUM($D43:$N43)*('Assumptions-Overall'!$M$33)*(1+'Assumptions-Overall'!$C$41)^('CashFlow-Parking'!D$7-1)/(YEAR(PhaseIIConEnd)-YEAR(PhaseIIConBegin)+1)</f>
        <v>0</v>
      </c>
      <c r="E52" s="242">
        <f>-(AND(E$8&gt;=YEAR(PhaseIIConBegin),E$8&lt;=YEAR(PhaseIIConEnd)))*SUM($D43:$N43)*('Assumptions-Overall'!$M$33)*(1+'Assumptions-Overall'!$C$41)^('CashFlow-Parking'!E$7-1)/(YEAR(PhaseIIConEnd)-YEAR(PhaseIIConBegin)+1)</f>
        <v>0</v>
      </c>
      <c r="F52" s="242">
        <f>-(AND(F$8&gt;=YEAR(PhaseIIConBegin),F$8&lt;=YEAR(PhaseIIConEnd)))*SUM($D43:$N43)*('Assumptions-Overall'!$M$33)*(1+'Assumptions-Overall'!$C$41)^('CashFlow-Parking'!F$7-1)/(YEAR(PhaseIIConEnd)-YEAR(PhaseIIConBegin)+1)</f>
        <v>0</v>
      </c>
      <c r="G52" s="242">
        <f>-(AND(G$8&gt;=YEAR(PhaseIIConBegin),G$8&lt;=YEAR(PhaseIIConEnd)))*SUM($D43:$N43)*('Assumptions-Overall'!$M$33)*(1+'Assumptions-Overall'!$C$41)^('CashFlow-Parking'!G$7-1)/(YEAR(PhaseIIConEnd)-YEAR(PhaseIIConBegin)+1)</f>
        <v>0</v>
      </c>
      <c r="H52" s="242">
        <f>-(AND(H$8&gt;=YEAR(PhaseIIConBegin),H$8&lt;=YEAR(PhaseIIConEnd)))*SUM($D43:$N43)*('Assumptions-Overall'!$M$33)*(1+'Assumptions-Overall'!$C$41)^('CashFlow-Parking'!H$7-1)/(YEAR(PhaseIIConEnd)-YEAR(PhaseIIConBegin)+1)</f>
        <v>-26757565.071737498</v>
      </c>
      <c r="I52" s="242">
        <f>-(AND(I$8&gt;=YEAR(PhaseIIConBegin),I$8&lt;=YEAR(PhaseIIConEnd)))*SUM($D43:$N43)*('Assumptions-Overall'!$M$33)*(1+'Assumptions-Overall'!$C$41)^('CashFlow-Parking'!I$7-1)/(YEAR(PhaseIIConEnd)-YEAR(PhaseIIConBegin)+1)</f>
        <v>-27560292.02388962</v>
      </c>
      <c r="J52" s="242">
        <f>-(AND(J$8&gt;=YEAR(PhaseIIConBegin),J$8&lt;=YEAR(PhaseIIConEnd)))*SUM($D43:$N43)*('Assumptions-Overall'!$M$33)*(1+'Assumptions-Overall'!$C$41)^('CashFlow-Parking'!J$7-1)/(YEAR(PhaseIIConEnd)-YEAR(PhaseIIConBegin)+1)</f>
        <v>0</v>
      </c>
      <c r="K52" s="242">
        <f>-(AND(K$8&gt;=YEAR(PhaseIIConBegin),K$8&lt;=YEAR(PhaseIIConEnd)))*SUM($D43:$N43)*('Assumptions-Overall'!$M$33)*(1+'Assumptions-Overall'!$C$41)^('CashFlow-Parking'!K$7-1)/(YEAR(PhaseIIConEnd)-YEAR(PhaseIIConBegin)+1)</f>
        <v>0</v>
      </c>
      <c r="L52" s="242">
        <f>-(AND(L$8&gt;=YEAR(PhaseIIConBegin),L$8&lt;=YEAR(PhaseIIConEnd)))*SUM($D43:$N43)*('Assumptions-Overall'!$M$33)*(1+'Assumptions-Overall'!$C$41)^('CashFlow-Parking'!L$7-1)/(YEAR(PhaseIIConEnd)-YEAR(PhaseIIConBegin)+1)</f>
        <v>0</v>
      </c>
      <c r="M52" s="242">
        <f>-(AND(M$8&gt;=YEAR(PhaseIIConBegin),M$8&lt;=YEAR(PhaseIIConEnd)))*SUM($D43:$N43)*('Assumptions-Overall'!$M$33)*(1+'Assumptions-Overall'!$C$41)^('CashFlow-Parking'!M$7-1)/(YEAR(PhaseIIConEnd)-YEAR(PhaseIIConBegin)+1)</f>
        <v>0</v>
      </c>
      <c r="N52" s="247"/>
    </row>
    <row r="53" spans="2:14" x14ac:dyDescent="0.2">
      <c r="B53" s="4" t="s">
        <v>312</v>
      </c>
      <c r="C53" s="12"/>
      <c r="D53" s="242">
        <f>(AND(D$8&gt;=YEAR(PhaseIIPreconBegin),D$8&lt;=YEAR(PhaseIIConEnd)))*SUM($D52:$N52)*'Assumptions-Overall'!$H$43/(YEAR(PhaseIIConEnd)-YEAR(PhaseIIPreconBegin)+1)</f>
        <v>0</v>
      </c>
      <c r="E53" s="242">
        <f>(AND(E$8&gt;=YEAR(PhaseIIPreconBegin),E$8&lt;=YEAR(PhaseIIConEnd)))*SUM($D52:$N52)*'Assumptions-Overall'!$H$43/(YEAR(PhaseIIConEnd)-YEAR(PhaseIIPreconBegin)+1)</f>
        <v>0</v>
      </c>
      <c r="F53" s="242">
        <f>(AND(F$8&gt;=YEAR(PhaseIIPreconBegin),F$8&lt;=YEAR(PhaseIIConEnd)))*SUM($D52:$N52)*'Assumptions-Overall'!$H$43/(YEAR(PhaseIIConEnd)-YEAR(PhaseIIPreconBegin)+1)</f>
        <v>-814767.85643440671</v>
      </c>
      <c r="G53" s="242">
        <f>(AND(G$8&gt;=YEAR(PhaseIIPreconBegin),G$8&lt;=YEAR(PhaseIIConEnd)))*SUM($D52:$N52)*'Assumptions-Overall'!$H$43/(YEAR(PhaseIIConEnd)-YEAR(PhaseIIPreconBegin)+1)</f>
        <v>-814767.85643440671</v>
      </c>
      <c r="H53" s="242">
        <f>(AND(H$8&gt;=YEAR(PhaseIIPreconBegin),H$8&lt;=YEAR(PhaseIIConEnd)))*SUM($D52:$N52)*'Assumptions-Overall'!$H$43/(YEAR(PhaseIIConEnd)-YEAR(PhaseIIPreconBegin)+1)</f>
        <v>-814767.85643440671</v>
      </c>
      <c r="I53" s="242">
        <f>(AND(I$8&gt;=YEAR(PhaseIIPreconBegin),I$8&lt;=YEAR(PhaseIIConEnd)))*SUM($D52:$N52)*'Assumptions-Overall'!$H$43/(YEAR(PhaseIIConEnd)-YEAR(PhaseIIPreconBegin)+1)</f>
        <v>-814767.85643440671</v>
      </c>
      <c r="J53" s="242">
        <f>(AND(J$8&gt;=YEAR(PhaseIIPreconBegin),J$8&lt;=YEAR(PhaseIIConEnd)))*SUM($D52:$N52)*'Assumptions-Overall'!$H$43/(YEAR(PhaseIIConEnd)-YEAR(PhaseIIPreconBegin)+1)</f>
        <v>0</v>
      </c>
      <c r="K53" s="242">
        <f>(AND(K$8&gt;=YEAR(PhaseIIPreconBegin),K$8&lt;=YEAR(PhaseIIConEnd)))*SUM($D52:$N52)*'Assumptions-Overall'!$H$43/(YEAR(PhaseIIConEnd)-YEAR(PhaseIIPreconBegin)+1)</f>
        <v>0</v>
      </c>
      <c r="L53" s="242">
        <f>(AND(L$8&gt;=YEAR(PhaseIIPreconBegin),L$8&lt;=YEAR(PhaseIIConEnd)))*SUM($D52:$N52)*'Assumptions-Overall'!$H$43/(YEAR(PhaseIIConEnd)-YEAR(PhaseIIPreconBegin)+1)</f>
        <v>0</v>
      </c>
      <c r="M53" s="242">
        <f>(AND(M$8&gt;=YEAR(PhaseIIPreconBegin),M$8&lt;=YEAR(PhaseIIConEnd)))*SUM($D52:$N52)*'Assumptions-Overall'!$H$43/(YEAR(PhaseIIConEnd)-YEAR(PhaseIIPreconBegin)+1)</f>
        <v>0</v>
      </c>
      <c r="N53" s="247"/>
    </row>
    <row r="54" spans="2:14" x14ac:dyDescent="0.2">
      <c r="B54" s="4" t="s">
        <v>183</v>
      </c>
      <c r="C54" s="12"/>
      <c r="D54" s="242">
        <f>(AND(D$8&gt;=YEAR(PhaseIIPreconBegin),D$8&lt;=YEAR(PhaseIIConEnd)))*SUM($D52:$N52)*'Assumptions-Overall'!$H$44/(YEAR(PhaseIIConEnd)-YEAR(PhaseIIPreconBegin)+1)</f>
        <v>0</v>
      </c>
      <c r="E54" s="242">
        <f>(AND(E$8&gt;=YEAR(PhaseIIPreconBegin),E$8&lt;=YEAR(PhaseIIConEnd)))*SUM($D52:$N52)*'Assumptions-Overall'!$H$44/(YEAR(PhaseIIConEnd)-YEAR(PhaseIIPreconBegin)+1)</f>
        <v>0</v>
      </c>
      <c r="F54" s="242">
        <f>(AND(F$8&gt;=YEAR(PhaseIIPreconBegin),F$8&lt;=YEAR(PhaseIIConEnd)))*SUM($D52:$N52)*'Assumptions-Overall'!$H$44/(YEAR(PhaseIIConEnd)-YEAR(PhaseIIPreconBegin)+1)</f>
        <v>-2036919.6410860168</v>
      </c>
      <c r="G54" s="242">
        <f>(AND(G$8&gt;=YEAR(PhaseIIPreconBegin),G$8&lt;=YEAR(PhaseIIConEnd)))*SUM($D52:$N52)*'Assumptions-Overall'!$H$44/(YEAR(PhaseIIConEnd)-YEAR(PhaseIIPreconBegin)+1)</f>
        <v>-2036919.6410860168</v>
      </c>
      <c r="H54" s="242">
        <f>(AND(H$8&gt;=YEAR(PhaseIIPreconBegin),H$8&lt;=YEAR(PhaseIIConEnd)))*SUM($D52:$N52)*'Assumptions-Overall'!$H$44/(YEAR(PhaseIIConEnd)-YEAR(PhaseIIPreconBegin)+1)</f>
        <v>-2036919.6410860168</v>
      </c>
      <c r="I54" s="242">
        <f>(AND(I$8&gt;=YEAR(PhaseIIPreconBegin),I$8&lt;=YEAR(PhaseIIConEnd)))*SUM($D52:$N52)*'Assumptions-Overall'!$H$44/(YEAR(PhaseIIConEnd)-YEAR(PhaseIIPreconBegin)+1)</f>
        <v>-2036919.6410860168</v>
      </c>
      <c r="J54" s="242">
        <f>(AND(J$8&gt;=YEAR(PhaseIIPreconBegin),J$8&lt;=YEAR(PhaseIIConEnd)))*SUM($D52:$N52)*'Assumptions-Overall'!$H$44/(YEAR(PhaseIIConEnd)-YEAR(PhaseIIPreconBegin)+1)</f>
        <v>0</v>
      </c>
      <c r="K54" s="242">
        <f>(AND(K$8&gt;=YEAR(PhaseIIPreconBegin),K$8&lt;=YEAR(PhaseIIConEnd)))*SUM($D52:$N52)*'Assumptions-Overall'!$H$44/(YEAR(PhaseIIConEnd)-YEAR(PhaseIIPreconBegin)+1)</f>
        <v>0</v>
      </c>
      <c r="L54" s="242">
        <f>(AND(L$8&gt;=YEAR(PhaseIIPreconBegin),L$8&lt;=YEAR(PhaseIIConEnd)))*SUM($D52:$N52)*'Assumptions-Overall'!$H$44/(YEAR(PhaseIIConEnd)-YEAR(PhaseIIPreconBegin)+1)</f>
        <v>0</v>
      </c>
      <c r="M54" s="242">
        <f>(AND(M$8&gt;=YEAR(PhaseIIPreconBegin),M$8&lt;=YEAR(PhaseIIConEnd)))*SUM($D52:$N52)*'Assumptions-Overall'!$H$44/(YEAR(PhaseIIConEnd)-YEAR(PhaseIIPreconBegin)+1)</f>
        <v>0</v>
      </c>
      <c r="N54" s="247"/>
    </row>
    <row r="55" spans="2:14" x14ac:dyDescent="0.2">
      <c r="B55" s="4" t="s">
        <v>184</v>
      </c>
      <c r="C55" s="12"/>
      <c r="D55" s="240">
        <f>SUM(D52:D54)*'Assumptions-Overall'!$H$45</f>
        <v>0</v>
      </c>
      <c r="E55" s="240">
        <f>SUM(E52:E54)*'Assumptions-Overall'!$H$45</f>
        <v>0</v>
      </c>
      <c r="F55" s="240">
        <f>SUM(F52:F54)*'Assumptions-Overall'!$H$45</f>
        <v>-85550.624925612705</v>
      </c>
      <c r="G55" s="240">
        <f>SUM(G52:G54)*'Assumptions-Overall'!$H$45</f>
        <v>-85550.624925612705</v>
      </c>
      <c r="H55" s="240">
        <f>SUM(H52:H54)*'Assumptions-Overall'!$H$45</f>
        <v>-888277.57707773754</v>
      </c>
      <c r="I55" s="240">
        <f>SUM(I52:I54)*'Assumptions-Overall'!$H$45</f>
        <v>-912359.38564230129</v>
      </c>
      <c r="J55" s="240">
        <f>SUM(J52:J54)*'Assumptions-Overall'!$H$45</f>
        <v>0</v>
      </c>
      <c r="K55" s="240">
        <f>SUM(K52:K54)*'Assumptions-Overall'!$H$45</f>
        <v>0</v>
      </c>
      <c r="L55" s="240">
        <f>SUM(L52:L54)*'Assumptions-Overall'!$H$45</f>
        <v>0</v>
      </c>
      <c r="M55" s="240">
        <f>SUM(M52:M54)*'Assumptions-Overall'!$H$45</f>
        <v>0</v>
      </c>
      <c r="N55" s="247"/>
    </row>
    <row r="56" spans="2:14" x14ac:dyDescent="0.2">
      <c r="B56" s="4" t="s">
        <v>313</v>
      </c>
      <c r="C56" s="12"/>
      <c r="D56" s="242">
        <f>SUM(D52:D55)</f>
        <v>0</v>
      </c>
      <c r="E56" s="242">
        <f t="shared" ref="E56" si="16">SUM(E52:E55)</f>
        <v>0</v>
      </c>
      <c r="F56" s="242">
        <f t="shared" ref="F56" si="17">SUM(F52:F55)</f>
        <v>-2937238.122446036</v>
      </c>
      <c r="G56" s="242">
        <f t="shared" ref="G56" si="18">SUM(G52:G55)</f>
        <v>-2937238.122446036</v>
      </c>
      <c r="H56" s="242">
        <f t="shared" ref="H56" si="19">SUM(H52:H55)</f>
        <v>-30497530.146335658</v>
      </c>
      <c r="I56" s="242">
        <f t="shared" ref="I56" si="20">SUM(I52:I55)</f>
        <v>-31324338.907052346</v>
      </c>
      <c r="J56" s="242">
        <f t="shared" ref="J56" si="21">SUM(J52:J55)</f>
        <v>0</v>
      </c>
      <c r="K56" s="242">
        <f t="shared" ref="K56" si="22">SUM(K52:K55)</f>
        <v>0</v>
      </c>
      <c r="L56" s="242">
        <f t="shared" ref="L56" si="23">SUM(L52:L55)</f>
        <v>0</v>
      </c>
      <c r="M56" s="242">
        <f t="shared" ref="M56" si="24">SUM(M52:M55)</f>
        <v>0</v>
      </c>
      <c r="N56" s="247"/>
    </row>
    <row r="57" spans="2:14" x14ac:dyDescent="0.2">
      <c r="B57" s="4"/>
      <c r="C57" s="1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7"/>
    </row>
    <row r="58" spans="2:14" x14ac:dyDescent="0.2">
      <c r="B58" s="53" t="s">
        <v>258</v>
      </c>
      <c r="C58" s="1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7"/>
    </row>
    <row r="59" spans="2:14" x14ac:dyDescent="0.2">
      <c r="B59" s="4" t="s">
        <v>376</v>
      </c>
      <c r="C59" s="12"/>
      <c r="D59" s="268">
        <f>(D46-C46)*'Assumptions-Parking'!$J$12*'Assumptions-Parking'!$J$13*(1+'Assumptions-Overall'!$C$38)^('CashFlow-Parking'!D$7-1)</f>
        <v>0</v>
      </c>
      <c r="E59" s="268">
        <f>(E46-D46)*'Assumptions-Parking'!$J$12*'Assumptions-Parking'!$J$13*(1+'Assumptions-Overall'!$C$38)^('CashFlow-Parking'!E$7-1)</f>
        <v>0</v>
      </c>
      <c r="F59" s="268">
        <f>(F46-E46)*'Assumptions-Parking'!$J$12*'Assumptions-Parking'!$J$13*(1+'Assumptions-Overall'!$C$38)^('CashFlow-Parking'!F$7-1)</f>
        <v>0</v>
      </c>
      <c r="G59" s="268">
        <f>(G46-F46)*'Assumptions-Parking'!$J$12*'Assumptions-Parking'!$J$13*(1+'Assumptions-Overall'!$C$38)^('CashFlow-Parking'!G$7-1)</f>
        <v>0</v>
      </c>
      <c r="H59" s="268">
        <f>(H46-G46)*'Assumptions-Parking'!$J$12*'Assumptions-Parking'!$J$13*(1+'Assumptions-Overall'!$C$38)^('CashFlow-Parking'!H$7-1)</f>
        <v>0</v>
      </c>
      <c r="I59" s="268">
        <f>(I46-H46)*'Assumptions-Parking'!$J$12*'Assumptions-Parking'!$J$13*(1+'Assumptions-Overall'!$C$38)^('CashFlow-Parking'!I$7-1)</f>
        <v>0</v>
      </c>
      <c r="J59" s="268">
        <f>(J46-I46)*'Assumptions-Parking'!$J$12*'Assumptions-Parking'!$J$13*(1+'Assumptions-Overall'!$C$38)^('CashFlow-Parking'!J$7-1)</f>
        <v>4246080.6024040002</v>
      </c>
      <c r="K59" s="268">
        <f>(K46-J46)*'Assumptions-Parking'!$J$12*'Assumptions-Parking'!$J$13*(1+'Assumptions-Overall'!$C$38)^('CashFlow-Parking'!K$7-1)</f>
        <v>0</v>
      </c>
      <c r="L59" s="268">
        <f>(L46-K46)*'Assumptions-Parking'!$J$12*'Assumptions-Parking'!$J$13*(1+'Assumptions-Overall'!$C$38)^('CashFlow-Parking'!L$7-1)</f>
        <v>2187370.5453687222</v>
      </c>
      <c r="M59" s="268">
        <f>(M46-L46)*'Assumptions-Parking'!$J$12*'Assumptions-Parking'!$J$13*(1+'Assumptions-Overall'!$C$38)^('CashFlow-Parking'!M$7-1)</f>
        <v>0</v>
      </c>
      <c r="N59" s="247"/>
    </row>
    <row r="60" spans="2:14" x14ac:dyDescent="0.2">
      <c r="B60" s="4" t="s">
        <v>317</v>
      </c>
      <c r="C60" s="12"/>
      <c r="D60" s="240">
        <f>-D59*'Assumptions-ResCondo'!$I$20</f>
        <v>0</v>
      </c>
      <c r="E60" s="240">
        <f>-E59*'Assumptions-ResCondo'!$I$20</f>
        <v>0</v>
      </c>
      <c r="F60" s="240">
        <f>-F59*'Assumptions-ResCondo'!$I$20</f>
        <v>0</v>
      </c>
      <c r="G60" s="240">
        <f>-G59*'Assumptions-ResCondo'!$I$20</f>
        <v>0</v>
      </c>
      <c r="H60" s="240">
        <f>-H59*'Assumptions-ResCondo'!$I$20</f>
        <v>0</v>
      </c>
      <c r="I60" s="240">
        <f>-I59*'Assumptions-ResCondo'!$I$20</f>
        <v>0</v>
      </c>
      <c r="J60" s="240">
        <f>-J59*'Assumptions-ResCondo'!$I$20</f>
        <v>-127382.41807212</v>
      </c>
      <c r="K60" s="240">
        <f>-K59*'Assumptions-ResCondo'!$I$20</f>
        <v>0</v>
      </c>
      <c r="L60" s="240">
        <f>-L59*'Assumptions-ResCondo'!$I$20</f>
        <v>-65621.116361061664</v>
      </c>
      <c r="M60" s="240">
        <f>-M59*'Assumptions-ResCondo'!$I$20</f>
        <v>0</v>
      </c>
      <c r="N60" s="247"/>
    </row>
    <row r="61" spans="2:14" x14ac:dyDescent="0.2">
      <c r="B61" s="4" t="s">
        <v>322</v>
      </c>
      <c r="C61" s="12"/>
      <c r="D61" s="242">
        <f>SUM(D59:D60)</f>
        <v>0</v>
      </c>
      <c r="E61" s="242">
        <f t="shared" ref="E61" si="25">SUM(E59:E60)</f>
        <v>0</v>
      </c>
      <c r="F61" s="242">
        <f t="shared" ref="F61" si="26">SUM(F59:F60)</f>
        <v>0</v>
      </c>
      <c r="G61" s="242">
        <f t="shared" ref="G61" si="27">SUM(G59:G60)</f>
        <v>0</v>
      </c>
      <c r="H61" s="242">
        <f t="shared" ref="H61" si="28">SUM(H59:H60)</f>
        <v>0</v>
      </c>
      <c r="I61" s="242">
        <f t="shared" ref="I61" si="29">SUM(I59:I60)</f>
        <v>0</v>
      </c>
      <c r="J61" s="242">
        <f t="shared" ref="J61" si="30">SUM(J59:J60)</f>
        <v>4118698.1843318804</v>
      </c>
      <c r="K61" s="242">
        <f t="shared" ref="K61" si="31">SUM(K59:K60)</f>
        <v>0</v>
      </c>
      <c r="L61" s="242">
        <f t="shared" ref="L61" si="32">SUM(L59:L60)</f>
        <v>2121749.4290076606</v>
      </c>
      <c r="M61" s="242">
        <f t="shared" ref="M61" si="33">SUM(M59:M60)</f>
        <v>0</v>
      </c>
      <c r="N61" s="247"/>
    </row>
    <row r="62" spans="2:14" x14ac:dyDescent="0.2">
      <c r="B62" s="4"/>
      <c r="C62" s="1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7"/>
    </row>
    <row r="63" spans="2:14" x14ac:dyDescent="0.2">
      <c r="B63" s="53" t="s">
        <v>314</v>
      </c>
      <c r="C63" s="1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7"/>
    </row>
    <row r="64" spans="2:14" x14ac:dyDescent="0.2">
      <c r="B64" s="4" t="s">
        <v>316</v>
      </c>
      <c r="C64" s="12"/>
      <c r="D64" s="242">
        <f>(D$8=YEAR('Assumptions-Overall'!$C$30))*E49/0.05</f>
        <v>0</v>
      </c>
      <c r="E64" s="242">
        <f>(E$8=YEAR('Assumptions-Overall'!$C$30))*F49/0.05</f>
        <v>0</v>
      </c>
      <c r="F64" s="242">
        <f>(F$8=YEAR('Assumptions-Overall'!$C$30))*G49/0.05</f>
        <v>0</v>
      </c>
      <c r="G64" s="242">
        <f>(G$8=YEAR('Assumptions-Overall'!$C$30))*H49/0.05</f>
        <v>0</v>
      </c>
      <c r="H64" s="242">
        <f>(H$8=YEAR('Assumptions-Overall'!$C$30))*I49/0.05</f>
        <v>0</v>
      </c>
      <c r="I64" s="242">
        <f>(I$8=YEAR('Assumptions-Overall'!$C$30))*J49/0.05</f>
        <v>0</v>
      </c>
      <c r="J64" s="242">
        <f>(J$8=YEAR('Assumptions-Overall'!$C$30))*K49/0.05</f>
        <v>0</v>
      </c>
      <c r="K64" s="242">
        <f>(K$8=YEAR('Assumptions-Overall'!$C$30))*L49/0.05</f>
        <v>0</v>
      </c>
      <c r="L64" s="242">
        <f>(L$8=YEAR('Assumptions-Overall'!$C$30))*M49/0.05</f>
        <v>0</v>
      </c>
      <c r="M64" s="242">
        <f>(M$8=YEAR('Assumptions-Overall'!$C$30))*N49/0.05</f>
        <v>3593888.0850253543</v>
      </c>
      <c r="N64" s="247"/>
    </row>
    <row r="65" spans="2:14" x14ac:dyDescent="0.2">
      <c r="B65" s="4" t="s">
        <v>317</v>
      </c>
      <c r="C65" s="12"/>
      <c r="D65" s="240">
        <f>-D64*'Assumptions-Overall'!$U$27</f>
        <v>0</v>
      </c>
      <c r="E65" s="240">
        <f>-E64*'Assumptions-Overall'!$U$27</f>
        <v>0</v>
      </c>
      <c r="F65" s="240">
        <f>-F64*'Assumptions-Overall'!$U$27</f>
        <v>0</v>
      </c>
      <c r="G65" s="240">
        <f>-G64*'Assumptions-Overall'!$U$27</f>
        <v>0</v>
      </c>
      <c r="H65" s="240">
        <f>-H64*'Assumptions-Overall'!$U$27</f>
        <v>0</v>
      </c>
      <c r="I65" s="240">
        <f>-I64*'Assumptions-Overall'!$U$27</f>
        <v>0</v>
      </c>
      <c r="J65" s="240">
        <f>-J64*'Assumptions-Overall'!$U$27</f>
        <v>0</v>
      </c>
      <c r="K65" s="240">
        <f>-K64*'Assumptions-Overall'!$U$27</f>
        <v>0</v>
      </c>
      <c r="L65" s="240">
        <f>-L64*'Assumptions-Overall'!$U$27</f>
        <v>0</v>
      </c>
      <c r="M65" s="240">
        <f>-M64*'Assumptions-Overall'!$U$27</f>
        <v>-35938.880850253547</v>
      </c>
      <c r="N65" s="247"/>
    </row>
    <row r="66" spans="2:14" x14ac:dyDescent="0.2">
      <c r="B66" s="4" t="s">
        <v>318</v>
      </c>
      <c r="C66" s="12"/>
      <c r="D66" s="242">
        <f>SUM(D64:D65)</f>
        <v>0</v>
      </c>
      <c r="E66" s="242">
        <f t="shared" ref="E66" si="34">SUM(E64:E65)</f>
        <v>0</v>
      </c>
      <c r="F66" s="242">
        <f t="shared" ref="F66" si="35">SUM(F64:F65)</f>
        <v>0</v>
      </c>
      <c r="G66" s="242">
        <f t="shared" ref="G66" si="36">SUM(G64:G65)</f>
        <v>0</v>
      </c>
      <c r="H66" s="242">
        <f t="shared" ref="H66" si="37">SUM(H64:H65)</f>
        <v>0</v>
      </c>
      <c r="I66" s="242">
        <f t="shared" ref="I66" si="38">SUM(I64:I65)</f>
        <v>0</v>
      </c>
      <c r="J66" s="242">
        <f t="shared" ref="J66" si="39">SUM(J64:J65)</f>
        <v>0</v>
      </c>
      <c r="K66" s="242">
        <f t="shared" ref="K66" si="40">SUM(K64:K65)</f>
        <v>0</v>
      </c>
      <c r="L66" s="242">
        <f t="shared" ref="L66" si="41">SUM(L64:L65)</f>
        <v>0</v>
      </c>
      <c r="M66" s="242">
        <f t="shared" ref="M66" si="42">SUM(M64:M65)</f>
        <v>3557949.2041751007</v>
      </c>
      <c r="N66" s="247"/>
    </row>
    <row r="67" spans="2:14" x14ac:dyDescent="0.2">
      <c r="B67" s="4"/>
      <c r="C67" s="1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7"/>
    </row>
    <row r="68" spans="2:14" x14ac:dyDescent="0.2">
      <c r="B68" s="4" t="s">
        <v>315</v>
      </c>
      <c r="C68" s="12"/>
      <c r="D68" s="242">
        <f>D49+D56+D61+D66</f>
        <v>0</v>
      </c>
      <c r="E68" s="242">
        <f t="shared" ref="E68:M68" si="43">E49+E56+E61+E66</f>
        <v>0</v>
      </c>
      <c r="F68" s="242">
        <f t="shared" si="43"/>
        <v>-2937238.122446036</v>
      </c>
      <c r="G68" s="242">
        <f t="shared" si="43"/>
        <v>-2937238.122446036</v>
      </c>
      <c r="H68" s="242">
        <f t="shared" si="43"/>
        <v>-30497530.146335658</v>
      </c>
      <c r="I68" s="242">
        <f t="shared" si="43"/>
        <v>-31324338.907052346</v>
      </c>
      <c r="J68" s="242">
        <f t="shared" si="43"/>
        <v>4299421.9899717011</v>
      </c>
      <c r="K68" s="242">
        <f t="shared" si="43"/>
        <v>182531.04369621843</v>
      </c>
      <c r="L68" s="242">
        <f t="shared" si="43"/>
        <v>2297903.1435957085</v>
      </c>
      <c r="M68" s="242">
        <f t="shared" si="43"/>
        <v>3735864.4559090291</v>
      </c>
      <c r="N68" s="247"/>
    </row>
    <row r="69" spans="2:14" x14ac:dyDescent="0.2">
      <c r="B69" s="4" t="s">
        <v>320</v>
      </c>
      <c r="C69" s="254" t="str">
        <f>IFERROR(IRR(D68:M68),"n/a")</f>
        <v>n/a</v>
      </c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7"/>
    </row>
    <row r="70" spans="2:14" ht="12.75" thickBot="1" x14ac:dyDescent="0.25">
      <c r="B70" s="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6"/>
    </row>
    <row r="72" spans="2:14" x14ac:dyDescent="0.2">
      <c r="B72" s="1" t="s">
        <v>407</v>
      </c>
      <c r="D72" s="285">
        <f>D68+D37</f>
        <v>-697201.21986466867</v>
      </c>
      <c r="E72" s="285">
        <f t="shared" ref="E72:M72" si="44">E68+E37</f>
        <v>-697201.21986466867</v>
      </c>
      <c r="F72" s="285">
        <f t="shared" si="44"/>
        <v>-10176322.709560703</v>
      </c>
      <c r="G72" s="285">
        <f t="shared" si="44"/>
        <v>-10372579.210578203</v>
      </c>
      <c r="H72" s="285">
        <f t="shared" si="44"/>
        <v>-22787200.749340907</v>
      </c>
      <c r="I72" s="285">
        <f t="shared" si="44"/>
        <v>-31305341.900396787</v>
      </c>
      <c r="J72" s="285">
        <f t="shared" si="44"/>
        <v>4318608.9666938139</v>
      </c>
      <c r="K72" s="285">
        <f t="shared" si="44"/>
        <v>201909.89018555265</v>
      </c>
      <c r="L72" s="285">
        <f t="shared" si="44"/>
        <v>2317475.7785499361</v>
      </c>
      <c r="M72" s="285">
        <f t="shared" si="44"/>
        <v>4150960.5065655881</v>
      </c>
    </row>
    <row r="73" spans="2:14" x14ac:dyDescent="0.2">
      <c r="B73" s="1" t="s">
        <v>408</v>
      </c>
      <c r="C73" s="286" t="e">
        <f>IRR(D72:M72)</f>
        <v>#NUM!</v>
      </c>
    </row>
  </sheetData>
  <mergeCells count="2">
    <mergeCell ref="B2:C2"/>
    <mergeCell ref="B6:N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DEFD-805E-450C-8921-8C857A4E3467}">
  <sheetPr>
    <tabColor theme="8" tint="0.39997558519241921"/>
  </sheetPr>
  <dimension ref="B1:R27"/>
  <sheetViews>
    <sheetView workbookViewId="0">
      <selection activeCell="H6" sqref="H6:M27"/>
    </sheetView>
    <sheetView tabSelected="1" topLeftCell="A4" workbookViewId="1"/>
  </sheetViews>
  <sheetFormatPr defaultRowHeight="12" x14ac:dyDescent="0.2"/>
  <cols>
    <col min="1" max="1" width="2.85546875" style="1" customWidth="1"/>
    <col min="2" max="2" width="18.7109375" style="1" bestFit="1" customWidth="1"/>
    <col min="3" max="3" width="7.85546875" style="1" bestFit="1" customWidth="1"/>
    <col min="4" max="5" width="7.7109375" style="1" bestFit="1" customWidth="1"/>
    <col min="6" max="6" width="9.85546875" style="1" bestFit="1" customWidth="1"/>
    <col min="7" max="7" width="2.85546875" style="1" customWidth="1"/>
    <col min="8" max="8" width="29.7109375" style="1" bestFit="1" customWidth="1"/>
    <col min="9" max="9" width="5.7109375" style="1" bestFit="1" customWidth="1"/>
    <col min="10" max="10" width="7.7109375" style="1" bestFit="1" customWidth="1"/>
    <col min="11" max="11" width="5.140625" style="1" bestFit="1" customWidth="1"/>
    <col min="12" max="12" width="10.85546875" style="1" bestFit="1" customWidth="1"/>
    <col min="13" max="13" width="9.85546875" style="1" bestFit="1" customWidth="1"/>
    <col min="14" max="14" width="9.140625" style="1"/>
    <col min="15" max="15" width="10.42578125" style="1" bestFit="1" customWidth="1"/>
    <col min="16" max="16384" width="9.140625" style="1"/>
  </cols>
  <sheetData>
    <row r="1" spans="2:18" ht="12.75" thickBot="1" x14ac:dyDescent="0.25"/>
    <row r="2" spans="2:18" x14ac:dyDescent="0.2">
      <c r="B2" s="417" t="s">
        <v>59</v>
      </c>
      <c r="C2" s="418"/>
    </row>
    <row r="3" spans="2:18" x14ac:dyDescent="0.2">
      <c r="B3" s="4" t="s">
        <v>58</v>
      </c>
      <c r="C3" s="5" t="str">
        <f>ProjectName</f>
        <v>Montage</v>
      </c>
    </row>
    <row r="4" spans="2:18" ht="12.75" thickBot="1" x14ac:dyDescent="0.25">
      <c r="B4" s="6" t="s">
        <v>56</v>
      </c>
      <c r="C4" s="7">
        <f>TeamNumber</f>
        <v>181430</v>
      </c>
    </row>
    <row r="5" spans="2:18" ht="12.75" thickBot="1" x14ac:dyDescent="0.25"/>
    <row r="6" spans="2:18" x14ac:dyDescent="0.2">
      <c r="B6" s="419" t="s">
        <v>482</v>
      </c>
      <c r="C6" s="420"/>
      <c r="D6" s="420"/>
      <c r="E6" s="420"/>
      <c r="F6" s="421"/>
      <c r="H6" s="419" t="s">
        <v>381</v>
      </c>
      <c r="I6" s="420"/>
      <c r="J6" s="420"/>
      <c r="K6" s="420"/>
      <c r="L6" s="420"/>
      <c r="M6" s="421"/>
    </row>
    <row r="7" spans="2:18" x14ac:dyDescent="0.2">
      <c r="B7" s="270" t="s">
        <v>30</v>
      </c>
      <c r="C7" s="191" t="s">
        <v>484</v>
      </c>
      <c r="D7" s="191" t="s">
        <v>483</v>
      </c>
      <c r="E7" s="191" t="s">
        <v>218</v>
      </c>
      <c r="F7" s="269" t="s">
        <v>485</v>
      </c>
      <c r="H7" s="270" t="s">
        <v>382</v>
      </c>
      <c r="I7" s="191" t="s">
        <v>171</v>
      </c>
      <c r="J7" s="191" t="s">
        <v>377</v>
      </c>
      <c r="K7" s="191" t="s">
        <v>378</v>
      </c>
      <c r="L7" s="191" t="s">
        <v>379</v>
      </c>
      <c r="M7" s="269" t="s">
        <v>380</v>
      </c>
    </row>
    <row r="8" spans="2:18" x14ac:dyDescent="0.2">
      <c r="B8" s="75" t="s">
        <v>62</v>
      </c>
      <c r="C8" s="289">
        <f>D8/43560</f>
        <v>3.9485766758494032</v>
      </c>
      <c r="D8" s="280">
        <v>172000</v>
      </c>
      <c r="E8" s="273">
        <v>70</v>
      </c>
      <c r="F8" s="164">
        <f>D8*E8</f>
        <v>12040000</v>
      </c>
      <c r="H8" s="75" t="s">
        <v>479</v>
      </c>
      <c r="I8" s="271" t="s">
        <v>29</v>
      </c>
      <c r="J8" s="288">
        <f>D8</f>
        <v>172000</v>
      </c>
      <c r="K8" s="271" t="s">
        <v>383</v>
      </c>
      <c r="L8" s="273">
        <v>10</v>
      </c>
      <c r="M8" s="164">
        <f>J8*L8</f>
        <v>1720000</v>
      </c>
    </row>
    <row r="9" spans="2:18" x14ac:dyDescent="0.2">
      <c r="B9" s="75" t="s">
        <v>61</v>
      </c>
      <c r="C9" s="289">
        <f t="shared" ref="C9:C10" si="0">D9/43560</f>
        <v>7.8512396694214877</v>
      </c>
      <c r="D9" s="280">
        <v>342000</v>
      </c>
      <c r="E9" s="273">
        <v>75</v>
      </c>
      <c r="F9" s="164">
        <f>D9*E9</f>
        <v>25650000</v>
      </c>
      <c r="H9" s="75" t="s">
        <v>479</v>
      </c>
      <c r="I9" s="271" t="s">
        <v>28</v>
      </c>
      <c r="J9" s="288">
        <f t="shared" ref="J9:J10" si="1">D9</f>
        <v>342000</v>
      </c>
      <c r="K9" s="271" t="s">
        <v>383</v>
      </c>
      <c r="L9" s="273">
        <v>10</v>
      </c>
      <c r="M9" s="164">
        <f>J9*L9</f>
        <v>3420000</v>
      </c>
    </row>
    <row r="10" spans="2:18" x14ac:dyDescent="0.2">
      <c r="B10" s="287" t="s">
        <v>60</v>
      </c>
      <c r="C10" s="290">
        <f t="shared" si="0"/>
        <v>4.4765840220385673</v>
      </c>
      <c r="D10" s="281">
        <v>195000</v>
      </c>
      <c r="E10" s="275">
        <v>80</v>
      </c>
      <c r="F10" s="279">
        <f>D10*E10</f>
        <v>15600000</v>
      </c>
      <c r="H10" s="75" t="s">
        <v>479</v>
      </c>
      <c r="I10" s="271" t="s">
        <v>27</v>
      </c>
      <c r="J10" s="288">
        <f t="shared" si="1"/>
        <v>195000</v>
      </c>
      <c r="K10" s="271" t="s">
        <v>383</v>
      </c>
      <c r="L10" s="273">
        <v>10</v>
      </c>
      <c r="M10" s="164">
        <f>J10*L10</f>
        <v>1950000</v>
      </c>
    </row>
    <row r="11" spans="2:18" ht="12.75" thickBot="1" x14ac:dyDescent="0.25">
      <c r="B11" s="6" t="s">
        <v>486</v>
      </c>
      <c r="C11" s="277"/>
      <c r="D11" s="15"/>
      <c r="E11" s="15"/>
      <c r="F11" s="278">
        <f>SUM(F8:F10)</f>
        <v>53290000</v>
      </c>
      <c r="H11" s="75" t="s">
        <v>398</v>
      </c>
      <c r="I11" s="271" t="s">
        <v>29</v>
      </c>
      <c r="J11" s="284">
        <f>J8/43560</f>
        <v>3.9485766758494032</v>
      </c>
      <c r="K11" s="271" t="s">
        <v>399</v>
      </c>
      <c r="L11" s="283">
        <f>'Assumptions-Overall'!$M$40</f>
        <v>220000</v>
      </c>
      <c r="M11" s="164">
        <f t="shared" ref="M11:M13" si="2">J11*L11</f>
        <v>868686.86868686869</v>
      </c>
    </row>
    <row r="12" spans="2:18" x14ac:dyDescent="0.2">
      <c r="H12" s="75" t="s">
        <v>398</v>
      </c>
      <c r="I12" s="271" t="s">
        <v>28</v>
      </c>
      <c r="J12" s="284">
        <f t="shared" ref="J12:J13" si="3">J9/43560</f>
        <v>7.8512396694214877</v>
      </c>
      <c r="K12" s="271" t="s">
        <v>399</v>
      </c>
      <c r="L12" s="283">
        <f>'Assumptions-Overall'!$M$40</f>
        <v>220000</v>
      </c>
      <c r="M12" s="164">
        <f t="shared" si="2"/>
        <v>1727272.7272727273</v>
      </c>
    </row>
    <row r="13" spans="2:18" x14ac:dyDescent="0.2">
      <c r="H13" s="75" t="s">
        <v>398</v>
      </c>
      <c r="I13" s="271" t="s">
        <v>27</v>
      </c>
      <c r="J13" s="284">
        <f t="shared" si="3"/>
        <v>4.4765840220385673</v>
      </c>
      <c r="K13" s="271" t="s">
        <v>399</v>
      </c>
      <c r="L13" s="283">
        <f>'Assumptions-Overall'!$M$40</f>
        <v>220000</v>
      </c>
      <c r="M13" s="164">
        <f t="shared" si="2"/>
        <v>984848.48484848486</v>
      </c>
    </row>
    <row r="14" spans="2:18" x14ac:dyDescent="0.2">
      <c r="H14" s="75" t="s">
        <v>384</v>
      </c>
      <c r="I14" s="271" t="s">
        <v>29</v>
      </c>
      <c r="J14" s="272">
        <f>300*1200/2</f>
        <v>180000</v>
      </c>
      <c r="K14" s="271" t="s">
        <v>383</v>
      </c>
      <c r="L14" s="273">
        <v>160</v>
      </c>
      <c r="M14" s="164">
        <f t="shared" ref="M14:M23" si="4">J14*L14</f>
        <v>28800000</v>
      </c>
      <c r="O14" s="138">
        <f>SUM(J14:J15,J18,J20,J21)</f>
        <v>478559</v>
      </c>
    </row>
    <row r="15" spans="2:18" x14ac:dyDescent="0.2">
      <c r="H15" s="75" t="s">
        <v>384</v>
      </c>
      <c r="I15" s="271" t="s">
        <v>28</v>
      </c>
      <c r="J15" s="272">
        <f>300*1200/2</f>
        <v>180000</v>
      </c>
      <c r="K15" s="271" t="s">
        <v>383</v>
      </c>
      <c r="L15" s="273">
        <v>160</v>
      </c>
      <c r="M15" s="164">
        <f t="shared" si="4"/>
        <v>28800000</v>
      </c>
      <c r="O15" s="264">
        <f>O14/43560</f>
        <v>10.986202938475666</v>
      </c>
      <c r="Q15" s="1">
        <v>3000000</v>
      </c>
    </row>
    <row r="16" spans="2:18" x14ac:dyDescent="0.2">
      <c r="H16" s="4" t="s">
        <v>385</v>
      </c>
      <c r="I16" s="271" t="s">
        <v>28</v>
      </c>
      <c r="J16" s="272">
        <v>15500</v>
      </c>
      <c r="K16" s="271" t="s">
        <v>383</v>
      </c>
      <c r="L16" s="273">
        <v>160</v>
      </c>
      <c r="M16" s="164">
        <f t="shared" si="4"/>
        <v>2480000</v>
      </c>
      <c r="Q16" s="1">
        <v>19430</v>
      </c>
      <c r="R16" s="1">
        <v>21905</v>
      </c>
    </row>
    <row r="17" spans="8:18" x14ac:dyDescent="0.2">
      <c r="H17" s="4" t="s">
        <v>386</v>
      </c>
      <c r="I17" s="271" t="s">
        <v>28</v>
      </c>
      <c r="J17" s="272">
        <v>14000</v>
      </c>
      <c r="K17" s="271" t="s">
        <v>383</v>
      </c>
      <c r="L17" s="273">
        <v>160</v>
      </c>
      <c r="M17" s="164">
        <f t="shared" si="4"/>
        <v>2240000</v>
      </c>
      <c r="Q17" s="1">
        <f>Q15/Q16</f>
        <v>154.40041173443129</v>
      </c>
      <c r="R17" s="1">
        <f>R15/R16</f>
        <v>0</v>
      </c>
    </row>
    <row r="18" spans="8:18" x14ac:dyDescent="0.2">
      <c r="H18" s="4" t="s">
        <v>387</v>
      </c>
      <c r="I18" s="271" t="s">
        <v>29</v>
      </c>
      <c r="J18" s="272">
        <v>20600</v>
      </c>
      <c r="K18" s="271" t="s">
        <v>383</v>
      </c>
      <c r="L18" s="273">
        <v>15</v>
      </c>
      <c r="M18" s="164">
        <f t="shared" si="4"/>
        <v>309000</v>
      </c>
    </row>
    <row r="19" spans="8:18" x14ac:dyDescent="0.2">
      <c r="H19" s="4" t="s">
        <v>388</v>
      </c>
      <c r="I19" s="271" t="s">
        <v>29</v>
      </c>
      <c r="J19" s="272">
        <v>20600</v>
      </c>
      <c r="K19" s="271" t="s">
        <v>383</v>
      </c>
      <c r="L19" s="273">
        <v>40</v>
      </c>
      <c r="M19" s="164">
        <f t="shared" si="4"/>
        <v>824000</v>
      </c>
    </row>
    <row r="20" spans="8:18" x14ac:dyDescent="0.2">
      <c r="H20" s="75" t="s">
        <v>389</v>
      </c>
      <c r="I20" s="271" t="s">
        <v>29</v>
      </c>
      <c r="J20" s="272">
        <v>19430</v>
      </c>
      <c r="K20" s="271" t="s">
        <v>383</v>
      </c>
      <c r="L20" s="273">
        <v>15</v>
      </c>
      <c r="M20" s="164">
        <f t="shared" si="4"/>
        <v>291450</v>
      </c>
    </row>
    <row r="21" spans="8:18" x14ac:dyDescent="0.2">
      <c r="H21" s="75" t="s">
        <v>390</v>
      </c>
      <c r="I21" s="271" t="s">
        <v>28</v>
      </c>
      <c r="J21" s="272">
        <v>78529</v>
      </c>
      <c r="K21" s="271" t="s">
        <v>383</v>
      </c>
      <c r="L21" s="273">
        <v>20</v>
      </c>
      <c r="M21" s="164">
        <f t="shared" si="4"/>
        <v>1570580</v>
      </c>
      <c r="N21" s="158"/>
    </row>
    <row r="22" spans="8:18" x14ac:dyDescent="0.2">
      <c r="H22" s="75" t="s">
        <v>391</v>
      </c>
      <c r="I22" s="271" t="s">
        <v>29</v>
      </c>
      <c r="J22" s="280">
        <v>155</v>
      </c>
      <c r="K22" s="271" t="s">
        <v>393</v>
      </c>
      <c r="L22" s="273">
        <f>'Assumptions-Overall'!$M$39</f>
        <v>4800</v>
      </c>
      <c r="M22" s="164">
        <f t="shared" si="4"/>
        <v>744000</v>
      </c>
      <c r="N22" s="158"/>
    </row>
    <row r="23" spans="8:18" x14ac:dyDescent="0.2">
      <c r="H23" s="147" t="s">
        <v>392</v>
      </c>
      <c r="I23" s="274" t="s">
        <v>28</v>
      </c>
      <c r="J23" s="281">
        <v>614</v>
      </c>
      <c r="K23" s="274" t="s">
        <v>393</v>
      </c>
      <c r="L23" s="275">
        <f>'Assumptions-Overall'!$M$39</f>
        <v>4800</v>
      </c>
      <c r="M23" s="279">
        <f t="shared" si="4"/>
        <v>2947200</v>
      </c>
      <c r="N23" s="158"/>
    </row>
    <row r="24" spans="8:18" x14ac:dyDescent="0.2">
      <c r="H24" s="4" t="s">
        <v>394</v>
      </c>
      <c r="I24" s="189" t="s">
        <v>29</v>
      </c>
      <c r="J24" s="12"/>
      <c r="K24" s="12"/>
      <c r="L24" s="12"/>
      <c r="M24" s="247">
        <f>SUMIF($I$8:$I$23,I24,$M$8:$M$23)</f>
        <v>33557136.86868687</v>
      </c>
      <c r="N24" s="158"/>
    </row>
    <row r="25" spans="8:18" x14ac:dyDescent="0.2">
      <c r="H25" s="4" t="s">
        <v>395</v>
      </c>
      <c r="I25" s="189" t="s">
        <v>28</v>
      </c>
      <c r="J25" s="12"/>
      <c r="K25" s="12"/>
      <c r="L25" s="12"/>
      <c r="M25" s="247">
        <f>SUMIF($I$8:$I$23,I25,$M$8:$M$23)</f>
        <v>43185052.727272727</v>
      </c>
      <c r="N25" s="158"/>
    </row>
    <row r="26" spans="8:18" x14ac:dyDescent="0.2">
      <c r="H26" s="147" t="s">
        <v>396</v>
      </c>
      <c r="I26" s="276" t="s">
        <v>27</v>
      </c>
      <c r="J26" s="49"/>
      <c r="K26" s="49"/>
      <c r="L26" s="49"/>
      <c r="M26" s="248">
        <f>SUMIF($I$8:$I$23,I26,$M$8:$M$23)</f>
        <v>2934848.4848484849</v>
      </c>
      <c r="N26" s="158"/>
    </row>
    <row r="27" spans="8:18" ht="12.75" thickBot="1" x14ac:dyDescent="0.25">
      <c r="H27" s="6" t="s">
        <v>397</v>
      </c>
      <c r="I27" s="277"/>
      <c r="J27" s="15"/>
      <c r="K27" s="15"/>
      <c r="L27" s="15"/>
      <c r="M27" s="278">
        <f>SUM(M24:M26)</f>
        <v>79677038.080808088</v>
      </c>
      <c r="N27" s="3"/>
      <c r="O27" s="285">
        <f>M27-SUM('CashFlow-Parking'!D25:M25)-SUM('CashFlow-Parking'!D56:M56)</f>
        <v>163442211.49406433</v>
      </c>
    </row>
  </sheetData>
  <mergeCells count="3">
    <mergeCell ref="B2:C2"/>
    <mergeCell ref="H6:M6"/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C548-3AFA-4AFC-9C24-CE7D79B9F95B}">
  <sheetPr>
    <pageSetUpPr fitToPage="1"/>
  </sheetPr>
  <dimension ref="A1:K133"/>
  <sheetViews>
    <sheetView view="pageLayout" topLeftCell="A13" zoomScaleNormal="100" workbookViewId="0">
      <selection activeCell="D17" sqref="D17"/>
    </sheetView>
    <sheetView workbookViewId="1"/>
  </sheetViews>
  <sheetFormatPr defaultRowHeight="12" x14ac:dyDescent="0.2"/>
  <cols>
    <col min="1" max="1" width="29.7109375" style="1" bestFit="1" customWidth="1"/>
    <col min="2" max="2" width="14.5703125" style="1" bestFit="1" customWidth="1"/>
    <col min="3" max="3" width="15.7109375" style="1" bestFit="1" customWidth="1"/>
    <col min="4" max="4" width="19.5703125" style="1" bestFit="1" customWidth="1"/>
    <col min="5" max="5" width="18.85546875" style="1" bestFit="1" customWidth="1"/>
    <col min="6" max="6" width="9.85546875" style="1" bestFit="1" customWidth="1"/>
    <col min="7" max="7" width="2.85546875" style="1" customWidth="1"/>
    <col min="8" max="8" width="35.140625" style="1" bestFit="1" customWidth="1"/>
    <col min="9" max="9" width="12.5703125" style="1" bestFit="1" customWidth="1"/>
    <col min="10" max="11" width="10.42578125" style="1" bestFit="1" customWidth="1"/>
    <col min="12" max="16384" width="9.140625" style="1"/>
  </cols>
  <sheetData>
    <row r="1" spans="1:11" x14ac:dyDescent="0.2">
      <c r="A1" s="419" t="s">
        <v>81</v>
      </c>
      <c r="B1" s="420"/>
      <c r="C1" s="420"/>
      <c r="D1" s="421"/>
      <c r="H1" s="419" t="s">
        <v>538</v>
      </c>
      <c r="I1" s="420"/>
      <c r="J1" s="420"/>
      <c r="K1" s="421"/>
    </row>
    <row r="2" spans="1:11" x14ac:dyDescent="0.2">
      <c r="A2" s="50" t="s">
        <v>62</v>
      </c>
      <c r="B2" s="51"/>
      <c r="C2" s="9"/>
      <c r="D2" s="13"/>
      <c r="H2" s="243" t="s">
        <v>498</v>
      </c>
      <c r="I2" s="12"/>
      <c r="J2" s="291"/>
      <c r="K2" s="13"/>
    </row>
    <row r="3" spans="1:11" x14ac:dyDescent="0.2">
      <c r="A3" s="53" t="s">
        <v>83</v>
      </c>
      <c r="B3" s="54" t="s">
        <v>84</v>
      </c>
      <c r="C3" s="54" t="s">
        <v>85</v>
      </c>
      <c r="D3" s="56" t="s">
        <v>86</v>
      </c>
      <c r="H3" s="4"/>
      <c r="I3" s="244"/>
      <c r="J3" s="12"/>
      <c r="K3" s="245"/>
    </row>
    <row r="4" spans="1:11" x14ac:dyDescent="0.2">
      <c r="A4" s="539" t="str">
        <f>'Assumptions-Overall'!B9</f>
        <v>Preconstruction</v>
      </c>
      <c r="B4" s="540">
        <f>'Assumptions-Overall'!C9</f>
        <v>43101</v>
      </c>
      <c r="C4" s="541">
        <f>'Assumptions-Overall'!D9</f>
        <v>24</v>
      </c>
      <c r="D4" s="542">
        <f>'Assumptions-Overall'!E9</f>
        <v>43830</v>
      </c>
      <c r="H4" s="53" t="s">
        <v>489</v>
      </c>
      <c r="I4" s="191" t="s">
        <v>458</v>
      </c>
      <c r="J4" s="292" t="s">
        <v>92</v>
      </c>
      <c r="K4" s="192" t="s">
        <v>494</v>
      </c>
    </row>
    <row r="5" spans="1:11" x14ac:dyDescent="0.2">
      <c r="A5" s="539" t="str">
        <f>'Assumptions-Overall'!B10</f>
        <v>Construction</v>
      </c>
      <c r="B5" s="540">
        <f>'Assumptions-Overall'!C10</f>
        <v>43831</v>
      </c>
      <c r="C5" s="541">
        <f>'Assumptions-Overall'!D10</f>
        <v>24</v>
      </c>
      <c r="D5" s="542">
        <f>'Assumptions-Overall'!E10</f>
        <v>44561</v>
      </c>
      <c r="H5" s="4" t="str">
        <f>'CashFlow-Combined'!O14</f>
        <v>Equity</v>
      </c>
      <c r="I5" s="297">
        <f ca="1">'CashFlow-Combined'!P14</f>
        <v>114039078.69474432</v>
      </c>
      <c r="J5" s="293">
        <f>'CashFlow-Combined'!Q14</f>
        <v>0.19999999999999996</v>
      </c>
      <c r="K5" s="259">
        <f ca="1">'CashFlow-Combined'!R14</f>
        <v>0.18351361239172251</v>
      </c>
    </row>
    <row r="6" spans="1:11" x14ac:dyDescent="0.2">
      <c r="A6" s="539" t="str">
        <f>'Assumptions-Overall'!B11</f>
        <v>Lease-Up</v>
      </c>
      <c r="B6" s="540">
        <f>'Assumptions-Overall'!C11</f>
        <v>44562</v>
      </c>
      <c r="C6" s="541">
        <f>'Assumptions-Overall'!D11</f>
        <v>12</v>
      </c>
      <c r="D6" s="542">
        <f>'Assumptions-Overall'!E11</f>
        <v>44926</v>
      </c>
      <c r="H6" s="75" t="str">
        <f>'CashFlow-Combined'!O15</f>
        <v>Mezzanine Debt</v>
      </c>
      <c r="I6" s="297">
        <f ca="1">'CashFlow-Combined'!P15</f>
        <v>114039078.69474435</v>
      </c>
      <c r="J6" s="293">
        <f>'CashFlow-Combined'!Q15</f>
        <v>0.2</v>
      </c>
      <c r="K6" s="259">
        <f ca="1">'CashFlow-Combined'!R15</f>
        <v>0.18351361239172256</v>
      </c>
    </row>
    <row r="7" spans="1:11" x14ac:dyDescent="0.2">
      <c r="A7" s="539" t="str">
        <f>'Assumptions-Overall'!B12</f>
        <v>Refinance</v>
      </c>
      <c r="B7" s="540">
        <f>'Assumptions-Overall'!C12</f>
        <v>44927</v>
      </c>
      <c r="C7" s="541"/>
      <c r="D7" s="542"/>
      <c r="H7" s="75" t="str">
        <f>'CashFlow-Combined'!O16</f>
        <v>Senior Debt</v>
      </c>
      <c r="I7" s="297">
        <f ca="1">'CashFlow-Combined'!P16</f>
        <v>342117236.08423305</v>
      </c>
      <c r="J7" s="293">
        <f>'CashFlow-Combined'!Q16</f>
        <v>0.6</v>
      </c>
      <c r="K7" s="259">
        <f ca="1">'CashFlow-Combined'!R16</f>
        <v>0.55054083717516766</v>
      </c>
    </row>
    <row r="8" spans="1:11" x14ac:dyDescent="0.2">
      <c r="A8" s="539"/>
      <c r="B8" s="543"/>
      <c r="C8" s="543"/>
      <c r="D8" s="544"/>
      <c r="H8" s="75" t="str">
        <f>'CashFlow-Combined'!O17</f>
        <v>Condo &amp; Parking Pre-Sales</v>
      </c>
      <c r="I8" s="240">
        <f>'CashFlow-Combined'!P17</f>
        <v>51224877.254315585</v>
      </c>
      <c r="J8" s="293" t="str">
        <f>'CashFlow-Combined'!Q17</f>
        <v>n/a</v>
      </c>
      <c r="K8" s="294">
        <f ca="1">'CashFlow-Combined'!R17</f>
        <v>8.2431938041387112E-2</v>
      </c>
    </row>
    <row r="9" spans="1:11" x14ac:dyDescent="0.2">
      <c r="A9" s="545" t="s">
        <v>61</v>
      </c>
      <c r="B9" s="543"/>
      <c r="C9" s="543"/>
      <c r="D9" s="544"/>
      <c r="H9" s="4" t="str">
        <f>'CashFlow-Combined'!O18</f>
        <v>Total Sources</v>
      </c>
      <c r="I9" s="242">
        <f ca="1">'CashFlow-Combined'!P18</f>
        <v>621420270.72803736</v>
      </c>
      <c r="J9" s="12"/>
      <c r="K9" s="259">
        <f ca="1">'CashFlow-Combined'!R18</f>
        <v>1</v>
      </c>
    </row>
    <row r="10" spans="1:11" x14ac:dyDescent="0.2">
      <c r="A10" s="546" t="s">
        <v>83</v>
      </c>
      <c r="B10" s="547" t="s">
        <v>84</v>
      </c>
      <c r="C10" s="547" t="s">
        <v>85</v>
      </c>
      <c r="D10" s="548" t="s">
        <v>86</v>
      </c>
      <c r="H10" s="4"/>
      <c r="I10" s="242"/>
      <c r="J10" s="12"/>
      <c r="K10" s="247"/>
    </row>
    <row r="11" spans="1:11" x14ac:dyDescent="0.2">
      <c r="A11" s="539" t="str">
        <f>'Assumptions-Overall'!B16</f>
        <v>Preconstruction</v>
      </c>
      <c r="B11" s="540">
        <f>'Assumptions-Overall'!C16</f>
        <v>43831</v>
      </c>
      <c r="C11" s="541">
        <f>'Assumptions-Overall'!D16</f>
        <v>24</v>
      </c>
      <c r="D11" s="542">
        <f>'Assumptions-Overall'!E16</f>
        <v>44561</v>
      </c>
      <c r="H11" s="53" t="s">
        <v>490</v>
      </c>
      <c r="I11" s="191" t="s">
        <v>458</v>
      </c>
      <c r="J11" s="292"/>
      <c r="K11" s="192" t="s">
        <v>494</v>
      </c>
    </row>
    <row r="12" spans="1:11" x14ac:dyDescent="0.2">
      <c r="A12" s="539" t="str">
        <f>'Assumptions-Overall'!B17</f>
        <v>Construction</v>
      </c>
      <c r="B12" s="540">
        <f>'Assumptions-Overall'!C17</f>
        <v>44562</v>
      </c>
      <c r="C12" s="541">
        <f>'Assumptions-Overall'!D17</f>
        <v>24</v>
      </c>
      <c r="D12" s="542">
        <f>'Assumptions-Overall'!E17</f>
        <v>45291</v>
      </c>
      <c r="H12" s="4" t="str">
        <f>'CashFlow-Combined'!O21</f>
        <v>Land Acquisition</v>
      </c>
      <c r="I12" s="242">
        <f>'CashFlow-Combined'!P21</f>
        <v>12040000</v>
      </c>
      <c r="J12" s="12"/>
      <c r="K12" s="259">
        <f ca="1">'CashFlow-Combined'!R21</f>
        <v>1.937497144387372E-2</v>
      </c>
    </row>
    <row r="13" spans="1:11" x14ac:dyDescent="0.2">
      <c r="A13" s="539" t="str">
        <f>'Assumptions-Overall'!B18</f>
        <v>Lease-Up</v>
      </c>
      <c r="B13" s="540">
        <f>'Assumptions-Overall'!C18</f>
        <v>45292</v>
      </c>
      <c r="C13" s="541">
        <f>'Assumptions-Overall'!D18</f>
        <v>12</v>
      </c>
      <c r="D13" s="542">
        <f>'Assumptions-Overall'!E18</f>
        <v>45657</v>
      </c>
      <c r="H13" s="4" t="str">
        <f>'CashFlow-Combined'!O22</f>
        <v>Residential Apartments Construction Costs</v>
      </c>
      <c r="I13" s="242">
        <f>'CashFlow-Combined'!P22</f>
        <v>0</v>
      </c>
      <c r="J13" s="12"/>
      <c r="K13" s="259">
        <f ca="1">'CashFlow-Combined'!R22</f>
        <v>0</v>
      </c>
    </row>
    <row r="14" spans="1:11" x14ac:dyDescent="0.2">
      <c r="A14" s="539" t="str">
        <f>'Assumptions-Overall'!B19</f>
        <v>Refinance</v>
      </c>
      <c r="B14" s="540">
        <f>'Assumptions-Overall'!C19</f>
        <v>45658</v>
      </c>
      <c r="C14" s="541"/>
      <c r="D14" s="542"/>
      <c r="H14" s="4" t="str">
        <f>'CashFlow-Combined'!O23</f>
        <v>Residential Condos Construction Costs</v>
      </c>
      <c r="I14" s="242">
        <f>'CashFlow-Combined'!P23</f>
        <v>200799277.94627458</v>
      </c>
      <c r="J14" s="12"/>
      <c r="K14" s="259">
        <f ca="1">'CashFlow-Combined'!R23</f>
        <v>0.32312959104315048</v>
      </c>
    </row>
    <row r="15" spans="1:11" x14ac:dyDescent="0.2">
      <c r="A15" s="539"/>
      <c r="B15" s="543"/>
      <c r="C15" s="543"/>
      <c r="D15" s="544"/>
      <c r="H15" s="4" t="str">
        <f>'CashFlow-Combined'!O24</f>
        <v>Retail Construction Costs</v>
      </c>
      <c r="I15" s="242">
        <f>'CashFlow-Combined'!P24</f>
        <v>11455268.741027188</v>
      </c>
      <c r="J15" s="12"/>
      <c r="K15" s="259">
        <f ca="1">'CashFlow-Combined'!R24</f>
        <v>1.843401202153663E-2</v>
      </c>
    </row>
    <row r="16" spans="1:11" x14ac:dyDescent="0.2">
      <c r="A16" s="545" t="s">
        <v>60</v>
      </c>
      <c r="B16" s="543"/>
      <c r="C16" s="543"/>
      <c r="D16" s="544"/>
      <c r="H16" s="4" t="str">
        <f>'CashFlow-Combined'!O25</f>
        <v>Office Construction Costs</v>
      </c>
      <c r="I16" s="242">
        <f>'CashFlow-Combined'!P25</f>
        <v>342938195.9092828</v>
      </c>
      <c r="J16" s="12"/>
      <c r="K16" s="259">
        <f ca="1">'CashFlow-Combined'!R25</f>
        <v>0.55186193959766827</v>
      </c>
    </row>
    <row r="17" spans="1:11" x14ac:dyDescent="0.2">
      <c r="A17" s="546" t="s">
        <v>83</v>
      </c>
      <c r="B17" s="547" t="s">
        <v>84</v>
      </c>
      <c r="C17" s="547" t="s">
        <v>85</v>
      </c>
      <c r="D17" s="548" t="s">
        <v>86</v>
      </c>
      <c r="H17" s="4" t="str">
        <f>'CashFlow-Combined'!O26</f>
        <v>Hotel Construction Costs</v>
      </c>
      <c r="I17" s="242">
        <f>'CashFlow-Combined'!P26</f>
        <v>0</v>
      </c>
      <c r="J17" s="12"/>
      <c r="K17" s="259">
        <f ca="1">'CashFlow-Combined'!R26</f>
        <v>0</v>
      </c>
    </row>
    <row r="18" spans="1:11" x14ac:dyDescent="0.2">
      <c r="A18" s="539" t="str">
        <f>'Assumptions-Overall'!B23</f>
        <v>Preconstruction</v>
      </c>
      <c r="B18" s="540">
        <f>'Assumptions-Overall'!C23</f>
        <v>44562</v>
      </c>
      <c r="C18" s="541">
        <f>'Assumptions-Overall'!D23</f>
        <v>24</v>
      </c>
      <c r="D18" s="542">
        <f>'Assumptions-Overall'!E23</f>
        <v>45291</v>
      </c>
      <c r="H18" s="4" t="str">
        <f>'CashFlow-Combined'!O27</f>
        <v>Parking Construction Costs</v>
      </c>
      <c r="I18" s="242">
        <f>'CashFlow-Combined'!P27</f>
        <v>16068828.114976175</v>
      </c>
      <c r="J18" s="12"/>
      <c r="K18" s="259">
        <f ca="1">'CashFlow-Combined'!R27</f>
        <v>2.5858229722938421E-2</v>
      </c>
    </row>
    <row r="19" spans="1:11" x14ac:dyDescent="0.2">
      <c r="A19" s="539" t="str">
        <f>'Assumptions-Overall'!B24</f>
        <v>Construction</v>
      </c>
      <c r="B19" s="540">
        <f>'Assumptions-Overall'!C24</f>
        <v>45292</v>
      </c>
      <c r="C19" s="541">
        <f>'Assumptions-Overall'!D24</f>
        <v>24</v>
      </c>
      <c r="D19" s="542">
        <f>'Assumptions-Overall'!E24</f>
        <v>46022</v>
      </c>
      <c r="H19" s="4" t="str">
        <f>'CashFlow-Combined'!O28</f>
        <v>Infrastructure Construction Costs</v>
      </c>
      <c r="I19" s="242">
        <f>'CashFlow-Combined'!P28</f>
        <v>33557136.86868687</v>
      </c>
      <c r="J19" s="12"/>
      <c r="K19" s="259">
        <f ca="1">'CashFlow-Combined'!R28</f>
        <v>5.4000711675163626E-2</v>
      </c>
    </row>
    <row r="20" spans="1:11" x14ac:dyDescent="0.2">
      <c r="A20" s="539" t="str">
        <f>'Assumptions-Overall'!B25</f>
        <v>Lease-Up</v>
      </c>
      <c r="B20" s="540">
        <f>'Assumptions-Overall'!C25</f>
        <v>46023</v>
      </c>
      <c r="C20" s="541">
        <f>'Assumptions-Overall'!D25</f>
        <v>12</v>
      </c>
      <c r="D20" s="542">
        <f>'Assumptions-Overall'!E25</f>
        <v>46387</v>
      </c>
      <c r="H20" s="4" t="str">
        <f>'CashFlow-Combined'!O29</f>
        <v>Financing Costs</v>
      </c>
      <c r="I20" s="240">
        <f ca="1">'CashFlow-Combined'!P29</f>
        <v>4561563.1477897745</v>
      </c>
      <c r="J20" s="12"/>
      <c r="K20" s="294">
        <f ca="1">'CashFlow-Combined'!R29</f>
        <v>7.3405444956689036E-3</v>
      </c>
    </row>
    <row r="21" spans="1:11" ht="12.75" thickBot="1" x14ac:dyDescent="0.25">
      <c r="A21" s="539" t="str">
        <f>'Assumptions-Overall'!B26</f>
        <v>Refinance</v>
      </c>
      <c r="B21" s="540">
        <f>'Assumptions-Overall'!C26</f>
        <v>46388</v>
      </c>
      <c r="C21" s="541"/>
      <c r="D21" s="542"/>
      <c r="H21" s="6" t="str">
        <f>'CashFlow-Combined'!O30</f>
        <v>Total Uses</v>
      </c>
      <c r="I21" s="295">
        <f ca="1">'CashFlow-Combined'!P30</f>
        <v>621420270.72803736</v>
      </c>
      <c r="J21" s="15"/>
      <c r="K21" s="296">
        <f ca="1">'CashFlow-Combined'!R30</f>
        <v>1</v>
      </c>
    </row>
    <row r="22" spans="1:11" x14ac:dyDescent="0.2">
      <c r="A22" s="539"/>
      <c r="B22" s="549"/>
      <c r="C22" s="549"/>
      <c r="D22" s="550"/>
      <c r="H22" s="243" t="s">
        <v>497</v>
      </c>
      <c r="I22" s="12"/>
      <c r="J22" s="12"/>
      <c r="K22" s="13"/>
    </row>
    <row r="23" spans="1:11" x14ac:dyDescent="0.2">
      <c r="A23" s="545" t="s">
        <v>100</v>
      </c>
      <c r="B23" s="549"/>
      <c r="C23" s="549"/>
      <c r="D23" s="550"/>
      <c r="H23" s="4"/>
      <c r="I23" s="301" t="s">
        <v>512</v>
      </c>
      <c r="J23" s="189"/>
      <c r="K23" s="302" t="s">
        <v>514</v>
      </c>
    </row>
    <row r="24" spans="1:11" x14ac:dyDescent="0.2">
      <c r="A24" s="539" t="str">
        <f>'Assumptions-Overall'!B29</f>
        <v>Projected Hold (Years)</v>
      </c>
      <c r="B24" s="541">
        <f>'Assumptions-Overall'!C29</f>
        <v>10</v>
      </c>
      <c r="C24" s="549"/>
      <c r="D24" s="550"/>
      <c r="H24" s="53" t="s">
        <v>186</v>
      </c>
      <c r="I24" s="191" t="s">
        <v>513</v>
      </c>
      <c r="J24" s="191" t="s">
        <v>510</v>
      </c>
      <c r="K24" s="192" t="s">
        <v>511</v>
      </c>
    </row>
    <row r="25" spans="1:11" ht="12.75" thickBot="1" x14ac:dyDescent="0.25">
      <c r="A25" s="6" t="str">
        <f>'Assumptions-Overall'!B30</f>
        <v>Projected Resale Date</v>
      </c>
      <c r="B25" s="87">
        <f>'Assumptions-Overall'!C30</f>
        <v>46752</v>
      </c>
      <c r="C25" s="15"/>
      <c r="D25" s="16"/>
      <c r="H25" s="4" t="str">
        <f>'CashFlow-Combined'!O34</f>
        <v>Residential Apartments</v>
      </c>
      <c r="I25" s="242">
        <f>'CashFlow-Combined'!P34</f>
        <v>0</v>
      </c>
      <c r="J25" s="300">
        <f>'CashFlow-Combined'!Q34</f>
        <v>3.7500000000000006E-2</v>
      </c>
      <c r="K25" s="303">
        <f>'CashFlow-Combined'!R34</f>
        <v>0</v>
      </c>
    </row>
    <row r="26" spans="1:11" ht="12.75" thickBot="1" x14ac:dyDescent="0.25">
      <c r="H26" s="4" t="str">
        <f>'CashFlow-Combined'!O35</f>
        <v>Retail</v>
      </c>
      <c r="I26" s="242">
        <f>'CashFlow-Combined'!P35</f>
        <v>2529643.6339421761</v>
      </c>
      <c r="J26" s="300">
        <f>'CashFlow-Combined'!Q35</f>
        <v>4.5000000000000005E-2</v>
      </c>
      <c r="K26" s="303">
        <f>'CashFlow-Combined'!R35</f>
        <v>56214302.9764928</v>
      </c>
    </row>
    <row r="27" spans="1:11" x14ac:dyDescent="0.2">
      <c r="A27" s="419" t="s">
        <v>169</v>
      </c>
      <c r="B27" s="420"/>
      <c r="C27" s="420"/>
      <c r="D27" s="420"/>
      <c r="E27" s="421"/>
      <c r="H27" s="4" t="str">
        <f>'CashFlow-Combined'!O36</f>
        <v>Office</v>
      </c>
      <c r="I27" s="242">
        <f>'CashFlow-Combined'!P36</f>
        <v>29165351.825116258</v>
      </c>
      <c r="J27" s="300">
        <f>'CashFlow-Combined'!Q36</f>
        <v>4.5000000000000005E-2</v>
      </c>
      <c r="K27" s="303">
        <f>'CashFlow-Combined'!R36</f>
        <v>648118929.44702792</v>
      </c>
    </row>
    <row r="28" spans="1:11" x14ac:dyDescent="0.2">
      <c r="A28" s="50" t="s">
        <v>65</v>
      </c>
      <c r="B28" s="34"/>
      <c r="C28" s="64" t="s">
        <v>171</v>
      </c>
      <c r="D28" s="34" t="s">
        <v>171</v>
      </c>
      <c r="E28" s="5" t="s">
        <v>171</v>
      </c>
      <c r="H28" s="4" t="str">
        <f>'CashFlow-Combined'!O37</f>
        <v>Hotel</v>
      </c>
      <c r="I28" s="242">
        <f>'CashFlow-Combined'!P37</f>
        <v>0</v>
      </c>
      <c r="J28" s="300">
        <f>'CashFlow-Combined'!Q37</f>
        <v>6.25E-2</v>
      </c>
      <c r="K28" s="303">
        <f>'CashFlow-Combined'!R37</f>
        <v>0</v>
      </c>
    </row>
    <row r="29" spans="1:11" x14ac:dyDescent="0.2">
      <c r="A29" s="53" t="s">
        <v>63</v>
      </c>
      <c r="B29" s="54" t="s">
        <v>170</v>
      </c>
      <c r="C29" s="55" t="s">
        <v>29</v>
      </c>
      <c r="D29" s="54" t="s">
        <v>28</v>
      </c>
      <c r="E29" s="56" t="s">
        <v>27</v>
      </c>
      <c r="H29" s="4" t="str">
        <f>'CashFlow-Combined'!O38</f>
        <v>Parking</v>
      </c>
      <c r="I29" s="240">
        <f>'CashFlow-Combined'!P38</f>
        <v>18997.006655557499</v>
      </c>
      <c r="J29" s="300">
        <f>'CashFlow-Combined'!Q38</f>
        <v>0.05</v>
      </c>
      <c r="K29" s="304">
        <f>'CashFlow-Combined'!R38</f>
        <v>379940.13311114995</v>
      </c>
    </row>
    <row r="30" spans="1:11" x14ac:dyDescent="0.2">
      <c r="A30" s="4" t="str">
        <f>'Assumptions-ResRental'!B9</f>
        <v>Studio/Efficiency</v>
      </c>
      <c r="B30" s="57">
        <f>'Assumptions-ResRental'!C9</f>
        <v>73</v>
      </c>
      <c r="C30" s="58">
        <f>'Assumptions-ResRental'!D9</f>
        <v>0</v>
      </c>
      <c r="D30" s="57">
        <f>'Assumptions-ResRental'!E9</f>
        <v>43</v>
      </c>
      <c r="E30" s="59">
        <f>'Assumptions-ResRental'!F9</f>
        <v>30</v>
      </c>
      <c r="H30" s="4" t="str">
        <f>'CashFlow-Combined'!O39</f>
        <v>Total Cash Flow from Operations</v>
      </c>
      <c r="I30" s="242">
        <f>'CashFlow-Combined'!P39</f>
        <v>31713992.465713993</v>
      </c>
      <c r="J30" s="12"/>
      <c r="K30" s="303">
        <f>'CashFlow-Combined'!R39</f>
        <v>704713172.5566318</v>
      </c>
    </row>
    <row r="31" spans="1:11" x14ac:dyDescent="0.2">
      <c r="A31" s="4" t="str">
        <f>'Assumptions-ResRental'!B10</f>
        <v>1 Bedroom</v>
      </c>
      <c r="B31" s="57">
        <f>'Assumptions-ResRental'!C10</f>
        <v>121</v>
      </c>
      <c r="C31" s="58">
        <f>'Assumptions-ResRental'!D10</f>
        <v>0</v>
      </c>
      <c r="D31" s="57">
        <f>'Assumptions-ResRental'!E10</f>
        <v>53</v>
      </c>
      <c r="E31" s="59">
        <f>'Assumptions-ResRental'!F10</f>
        <v>68</v>
      </c>
      <c r="H31" s="4"/>
      <c r="I31" s="242"/>
      <c r="J31" s="12"/>
      <c r="K31" s="247"/>
    </row>
    <row r="32" spans="1:11" x14ac:dyDescent="0.2">
      <c r="A32" s="4" t="str">
        <f>'Assumptions-ResRental'!B11</f>
        <v>2 Bedroom</v>
      </c>
      <c r="B32" s="57">
        <f>'Assumptions-ResRental'!C11</f>
        <v>19</v>
      </c>
      <c r="C32" s="58">
        <f>'Assumptions-ResRental'!D11</f>
        <v>0</v>
      </c>
      <c r="D32" s="57">
        <f>'Assumptions-ResRental'!E11</f>
        <v>15</v>
      </c>
      <c r="E32" s="59">
        <f>'Assumptions-ResRental'!F11</f>
        <v>4</v>
      </c>
      <c r="H32" s="4" t="s">
        <v>515</v>
      </c>
      <c r="I32" s="34"/>
      <c r="J32" s="12"/>
      <c r="K32" s="305">
        <f>'CashFlow-Combined'!R41</f>
        <v>0.65</v>
      </c>
    </row>
    <row r="33" spans="1:11" x14ac:dyDescent="0.2">
      <c r="A33" s="4" t="str">
        <f>'Assumptions-ResRental'!B12</f>
        <v>3 Bedroom</v>
      </c>
      <c r="B33" s="60">
        <f>'Assumptions-ResRental'!C12</f>
        <v>7</v>
      </c>
      <c r="C33" s="61">
        <f>'Assumptions-ResRental'!D12</f>
        <v>0</v>
      </c>
      <c r="D33" s="62">
        <f>'Assumptions-ResRental'!E12</f>
        <v>3</v>
      </c>
      <c r="E33" s="63">
        <f>'Assumptions-ResRental'!F12</f>
        <v>4</v>
      </c>
      <c r="H33" s="4" t="s">
        <v>516</v>
      </c>
      <c r="I33" s="34"/>
      <c r="J33" s="12"/>
      <c r="K33" s="303">
        <f>'CashFlow-Combined'!R42</f>
        <v>458063562.1618107</v>
      </c>
    </row>
    <row r="34" spans="1:11" x14ac:dyDescent="0.2">
      <c r="A34" s="4" t="str">
        <f>'Assumptions-ResRental'!B13</f>
        <v>Total</v>
      </c>
      <c r="B34" s="57">
        <f>'Assumptions-ResRental'!C13</f>
        <v>220</v>
      </c>
      <c r="C34" s="58">
        <f>'Assumptions-ResRental'!D13</f>
        <v>0</v>
      </c>
      <c r="D34" s="57">
        <f>'Assumptions-ResRental'!E13</f>
        <v>114</v>
      </c>
      <c r="E34" s="59">
        <f>'Assumptions-ResRental'!F13</f>
        <v>106</v>
      </c>
      <c r="H34" s="4"/>
      <c r="I34" s="242"/>
      <c r="J34" s="12"/>
      <c r="K34" s="303"/>
    </row>
    <row r="35" spans="1:11" x14ac:dyDescent="0.2">
      <c r="A35" s="4"/>
      <c r="B35" s="34"/>
      <c r="C35" s="64"/>
      <c r="D35" s="34"/>
      <c r="E35" s="5"/>
      <c r="H35" s="4" t="s">
        <v>519</v>
      </c>
      <c r="I35" s="242"/>
      <c r="J35" s="12"/>
      <c r="K35" s="306">
        <f>'CashFlow-Combined'!R44</f>
        <v>1.2</v>
      </c>
    </row>
    <row r="36" spans="1:11" x14ac:dyDescent="0.2">
      <c r="A36" s="50" t="s">
        <v>64</v>
      </c>
      <c r="B36" s="34"/>
      <c r="C36" s="64" t="s">
        <v>171</v>
      </c>
      <c r="D36" s="34" t="s">
        <v>171</v>
      </c>
      <c r="E36" s="5" t="s">
        <v>171</v>
      </c>
      <c r="H36" s="4" t="s">
        <v>520</v>
      </c>
      <c r="I36" s="242"/>
      <c r="J36" s="12"/>
      <c r="K36" s="303">
        <f>'CashFlow-Combined'!R45</f>
        <v>434660438.1827473</v>
      </c>
    </row>
    <row r="37" spans="1:11" x14ac:dyDescent="0.2">
      <c r="A37" s="53" t="s">
        <v>63</v>
      </c>
      <c r="B37" s="54" t="s">
        <v>170</v>
      </c>
      <c r="C37" s="55" t="s">
        <v>29</v>
      </c>
      <c r="D37" s="54" t="s">
        <v>28</v>
      </c>
      <c r="E37" s="56" t="s">
        <v>27</v>
      </c>
      <c r="H37" s="4"/>
      <c r="I37" s="242"/>
      <c r="J37" s="12"/>
      <c r="K37" s="303"/>
    </row>
    <row r="38" spans="1:11" x14ac:dyDescent="0.2">
      <c r="A38" s="4" t="str">
        <f>'Assumptions-ResRental'!B17</f>
        <v>Studio/Efficiency</v>
      </c>
      <c r="B38" s="57">
        <f>'Assumptions-ResRental'!C17</f>
        <v>9</v>
      </c>
      <c r="C38" s="58">
        <f>'Assumptions-ResRental'!D17</f>
        <v>0</v>
      </c>
      <c r="D38" s="57">
        <f>'Assumptions-ResRental'!E17</f>
        <v>5</v>
      </c>
      <c r="E38" s="59">
        <f>'Assumptions-ResRental'!F17</f>
        <v>4</v>
      </c>
      <c r="H38" s="4" t="s">
        <v>521</v>
      </c>
      <c r="I38" s="242"/>
      <c r="J38" s="12"/>
      <c r="K38" s="303">
        <f>'CashFlow-Combined'!R47</f>
        <v>434660438.1827473</v>
      </c>
    </row>
    <row r="39" spans="1:11" x14ac:dyDescent="0.2">
      <c r="A39" s="4" t="str">
        <f>'Assumptions-ResRental'!B18</f>
        <v>1 Bedroom</v>
      </c>
      <c r="B39" s="57">
        <f>'Assumptions-ResRental'!C18</f>
        <v>13</v>
      </c>
      <c r="C39" s="58">
        <f>'Assumptions-ResRental'!D18</f>
        <v>0</v>
      </c>
      <c r="D39" s="57">
        <f>'Assumptions-ResRental'!E18</f>
        <v>7</v>
      </c>
      <c r="E39" s="59">
        <f>'Assumptions-ResRental'!F18</f>
        <v>6</v>
      </c>
      <c r="H39" s="4" t="s">
        <v>522</v>
      </c>
      <c r="I39" s="242"/>
      <c r="J39" s="12"/>
      <c r="K39" s="303">
        <f>'CashFlow-Combined'!R48</f>
        <v>26428327.054761406</v>
      </c>
    </row>
    <row r="40" spans="1:11" x14ac:dyDescent="0.2">
      <c r="A40" s="4" t="str">
        <f>'Assumptions-ResRental'!B19</f>
        <v>2 Bedroom</v>
      </c>
      <c r="B40" s="57">
        <f>'Assumptions-ResRental'!C19</f>
        <v>17</v>
      </c>
      <c r="C40" s="58">
        <f>'Assumptions-ResRental'!D19</f>
        <v>0</v>
      </c>
      <c r="D40" s="57">
        <f>'Assumptions-ResRental'!E19</f>
        <v>9</v>
      </c>
      <c r="E40" s="59">
        <f>'Assumptions-ResRental'!F19</f>
        <v>8</v>
      </c>
      <c r="H40" s="4" t="s">
        <v>523</v>
      </c>
      <c r="I40" s="12"/>
      <c r="J40" s="12"/>
      <c r="K40" s="247">
        <f>'CashFlow-Combined'!R49</f>
        <v>4346604.3818274727</v>
      </c>
    </row>
    <row r="41" spans="1:11" ht="12.75" thickBot="1" x14ac:dyDescent="0.25">
      <c r="A41" s="4" t="str">
        <f>'Assumptions-ResRental'!B20</f>
        <v>3 Bedroom</v>
      </c>
      <c r="B41" s="60">
        <f>'Assumptions-ResRental'!C20</f>
        <v>5</v>
      </c>
      <c r="C41" s="61">
        <f>'Assumptions-ResRental'!D20</f>
        <v>0</v>
      </c>
      <c r="D41" s="62">
        <f>'Assumptions-ResRental'!E20</f>
        <v>3</v>
      </c>
      <c r="E41" s="63">
        <f>'Assumptions-ResRental'!F20</f>
        <v>2</v>
      </c>
      <c r="H41" s="6" t="s">
        <v>525</v>
      </c>
      <c r="I41" s="15"/>
      <c r="J41" s="15"/>
      <c r="K41" s="307">
        <f>'CashFlow-Combined'!R50</f>
        <v>431776973.41873205</v>
      </c>
    </row>
    <row r="42" spans="1:11" ht="12.75" thickBot="1" x14ac:dyDescent="0.25">
      <c r="A42" s="6" t="str">
        <f>'Assumptions-ResRental'!B21</f>
        <v>Total</v>
      </c>
      <c r="B42" s="65">
        <f>'Assumptions-ResRental'!C21</f>
        <v>44</v>
      </c>
      <c r="C42" s="66">
        <f>'Assumptions-ResRental'!D21</f>
        <v>0</v>
      </c>
      <c r="D42" s="65">
        <f>'Assumptions-ResRental'!E21</f>
        <v>24</v>
      </c>
      <c r="E42" s="67">
        <f>'Assumptions-ResRental'!F21</f>
        <v>20</v>
      </c>
    </row>
    <row r="43" spans="1:11" ht="12.75" thickBot="1" x14ac:dyDescent="0.25">
      <c r="H43" s="419" t="s">
        <v>539</v>
      </c>
      <c r="I43" s="420"/>
      <c r="J43" s="420"/>
      <c r="K43" s="421"/>
    </row>
    <row r="44" spans="1:11" x14ac:dyDescent="0.2">
      <c r="A44" s="419" t="s">
        <v>541</v>
      </c>
      <c r="B44" s="420"/>
      <c r="C44" s="420"/>
      <c r="D44" s="420"/>
      <c r="E44" s="421"/>
      <c r="H44" s="243" t="s">
        <v>531</v>
      </c>
      <c r="I44" s="12"/>
      <c r="J44" s="291"/>
      <c r="K44" s="13"/>
    </row>
    <row r="45" spans="1:11" x14ac:dyDescent="0.2">
      <c r="A45" s="53" t="s">
        <v>63</v>
      </c>
      <c r="B45" s="160" t="s">
        <v>173</v>
      </c>
      <c r="C45" s="54" t="s">
        <v>174</v>
      </c>
      <c r="D45" s="54" t="s">
        <v>176</v>
      </c>
      <c r="E45" s="56" t="s">
        <v>175</v>
      </c>
      <c r="H45" s="4"/>
      <c r="I45" s="244"/>
      <c r="J45" s="12"/>
      <c r="K45" s="245"/>
    </row>
    <row r="46" spans="1:11" x14ac:dyDescent="0.2">
      <c r="A46" s="539" t="str">
        <f>'Assumptions-ResRental'!H8</f>
        <v>Studio/Efficiency</v>
      </c>
      <c r="B46" s="541">
        <f>'Assumptions-ResRental'!I8</f>
        <v>499.97999674267112</v>
      </c>
      <c r="C46" s="552">
        <f>'Assumptions-ResRental'!J8</f>
        <v>3.75</v>
      </c>
      <c r="D46" s="221">
        <f>'Assumptions-ResRental'!K8</f>
        <v>1874.9249877850166</v>
      </c>
      <c r="E46" s="164">
        <f>'Assumptions-ResRental'!L8</f>
        <v>22499.099853420201</v>
      </c>
      <c r="H46" s="53" t="s">
        <v>489</v>
      </c>
      <c r="I46" s="191" t="s">
        <v>458</v>
      </c>
      <c r="J46" s="292" t="s">
        <v>92</v>
      </c>
      <c r="K46" s="192" t="s">
        <v>494</v>
      </c>
    </row>
    <row r="47" spans="1:11" x14ac:dyDescent="0.2">
      <c r="A47" s="539" t="str">
        <f>'Assumptions-ResRental'!H9</f>
        <v>1 Bedroom</v>
      </c>
      <c r="B47" s="541">
        <f>'Assumptions-ResRental'!I9</f>
        <v>755.62486688888896</v>
      </c>
      <c r="C47" s="552">
        <f>'Assumptions-ResRental'!J9</f>
        <v>3.4</v>
      </c>
      <c r="D47" s="221">
        <f>'Assumptions-ResRental'!K9</f>
        <v>2569.1245474222223</v>
      </c>
      <c r="E47" s="164">
        <f>'Assumptions-ResRental'!L9</f>
        <v>30829.494569066668</v>
      </c>
      <c r="H47" s="4" t="str">
        <f>'CashFlow-Combined'!O88</f>
        <v>Equity</v>
      </c>
      <c r="I47" s="297">
        <f ca="1">'CashFlow-Combined'!P88</f>
        <v>113293830.32156447</v>
      </c>
      <c r="J47" s="293">
        <f>'CashFlow-Combined'!Q88</f>
        <v>0.19999999999999996</v>
      </c>
      <c r="K47" s="259">
        <f ca="1">'CashFlow-Combined'!R88</f>
        <v>0.18231434611689254</v>
      </c>
    </row>
    <row r="48" spans="1:11" x14ac:dyDescent="0.2">
      <c r="A48" s="539" t="str">
        <f>'Assumptions-ResRental'!H10</f>
        <v>2 Bedroom</v>
      </c>
      <c r="B48" s="541">
        <f>'Assumptions-ResRental'!I10</f>
        <v>961.69226557377033</v>
      </c>
      <c r="C48" s="552">
        <f>'Assumptions-ResRental'!J10</f>
        <v>3.25</v>
      </c>
      <c r="D48" s="221">
        <f>'Assumptions-ResRental'!K10</f>
        <v>3125.4998631147537</v>
      </c>
      <c r="E48" s="164">
        <f>'Assumptions-ResRental'!L10</f>
        <v>37505.998357377044</v>
      </c>
      <c r="H48" s="75" t="str">
        <f>'CashFlow-Combined'!O89</f>
        <v>Mezzanine Debt</v>
      </c>
      <c r="I48" s="297">
        <f ca="1">'CashFlow-Combined'!P89</f>
        <v>113293830.3215645</v>
      </c>
      <c r="J48" s="293">
        <f>'CashFlow-Combined'!Q89</f>
        <v>0.2</v>
      </c>
      <c r="K48" s="259">
        <f ca="1">'CashFlow-Combined'!R89</f>
        <v>0.18231434611689259</v>
      </c>
    </row>
    <row r="49" spans="1:11" ht="12.75" thickBot="1" x14ac:dyDescent="0.25">
      <c r="A49" s="551" t="str">
        <f>'Assumptions-ResRental'!H11</f>
        <v>3 Bedroom</v>
      </c>
      <c r="B49" s="553">
        <f>'Assumptions-ResRental'!I11</f>
        <v>1152.7017313432834</v>
      </c>
      <c r="C49" s="554">
        <f>'Assumptions-ResRental'!J11</f>
        <v>3.1</v>
      </c>
      <c r="D49" s="222">
        <f>'Assumptions-ResRental'!K11</f>
        <v>3573.3753671641789</v>
      </c>
      <c r="E49" s="166">
        <f>'Assumptions-ResRental'!L11</f>
        <v>42880.504405970147</v>
      </c>
      <c r="H49" s="75" t="str">
        <f>'CashFlow-Combined'!O90</f>
        <v>Senior Debt</v>
      </c>
      <c r="I49" s="297">
        <f ca="1">'CashFlow-Combined'!P90</f>
        <v>339881490.96469343</v>
      </c>
      <c r="J49" s="293">
        <f>'CashFlow-Combined'!Q90</f>
        <v>0.6</v>
      </c>
      <c r="K49" s="259">
        <f ca="1">'CashFlow-Combined'!R90</f>
        <v>0.5469430383506777</v>
      </c>
    </row>
    <row r="50" spans="1:11" ht="12.75" thickBot="1" x14ac:dyDescent="0.25">
      <c r="H50" s="75" t="str">
        <f>'CashFlow-Combined'!O91</f>
        <v>Condo &amp; Parking Pre-Sales</v>
      </c>
      <c r="I50" s="240">
        <f>'CashFlow-Combined'!P91</f>
        <v>28314028.263266899</v>
      </c>
      <c r="J50" s="293" t="str">
        <f>'CashFlow-Combined'!Q91</f>
        <v>n/a</v>
      </c>
      <c r="K50" s="294">
        <f ca="1">'CashFlow-Combined'!R91</f>
        <v>4.5563412712776544E-2</v>
      </c>
    </row>
    <row r="51" spans="1:11" x14ac:dyDescent="0.2">
      <c r="A51" s="419" t="s">
        <v>542</v>
      </c>
      <c r="B51" s="420"/>
      <c r="C51" s="420"/>
      <c r="D51" s="420"/>
      <c r="E51" s="421"/>
      <c r="H51" s="4" t="str">
        <f>'CashFlow-Combined'!O92</f>
        <v>Total Sources</v>
      </c>
      <c r="I51" s="242">
        <f ca="1">'CashFlow-Combined'!P92</f>
        <v>594783179.87108934</v>
      </c>
      <c r="J51" s="12"/>
      <c r="K51" s="259">
        <f ca="1">'CashFlow-Combined'!R92</f>
        <v>0.95713514329723937</v>
      </c>
    </row>
    <row r="52" spans="1:11" x14ac:dyDescent="0.2">
      <c r="A52" s="53" t="s">
        <v>63</v>
      </c>
      <c r="B52" s="160" t="s">
        <v>173</v>
      </c>
      <c r="C52" s="54" t="s">
        <v>180</v>
      </c>
      <c r="D52" s="54" t="s">
        <v>178</v>
      </c>
      <c r="E52" s="56" t="s">
        <v>179</v>
      </c>
      <c r="H52" s="4"/>
      <c r="I52" s="242"/>
      <c r="J52" s="12"/>
      <c r="K52" s="247"/>
    </row>
    <row r="53" spans="1:11" x14ac:dyDescent="0.2">
      <c r="A53" s="4" t="str">
        <f>'Assumptions-ResRental'!N8</f>
        <v>Studio/Efficiency</v>
      </c>
      <c r="B53" s="57">
        <f>'Assumptions-ResRental'!O8</f>
        <v>499.97999674267112</v>
      </c>
      <c r="C53" s="111">
        <f>'Assumptions-ResRental'!P8</f>
        <v>1.5400616124974742</v>
      </c>
      <c r="D53" s="221">
        <f>'Assumptions-ResRental'!Q8</f>
        <v>770</v>
      </c>
      <c r="E53" s="164">
        <f>'Assumptions-ResRental'!R8</f>
        <v>9240</v>
      </c>
      <c r="H53" s="53" t="s">
        <v>490</v>
      </c>
      <c r="I53" s="191" t="s">
        <v>458</v>
      </c>
      <c r="J53" s="292"/>
      <c r="K53" s="192" t="s">
        <v>494</v>
      </c>
    </row>
    <row r="54" spans="1:11" x14ac:dyDescent="0.2">
      <c r="A54" s="4" t="str">
        <f>'Assumptions-ResRental'!N9</f>
        <v>1 Bedroom</v>
      </c>
      <c r="B54" s="57">
        <f>'Assumptions-ResRental'!O9</f>
        <v>755.62486688888896</v>
      </c>
      <c r="C54" s="111">
        <f>'Assumptions-ResRental'!P9</f>
        <v>1.2043012874188683</v>
      </c>
      <c r="D54" s="221">
        <f>'Assumptions-ResRental'!Q9</f>
        <v>910</v>
      </c>
      <c r="E54" s="164">
        <f>'Assumptions-ResRental'!R9</f>
        <v>10920</v>
      </c>
      <c r="H54" s="4" t="str">
        <f>'CashFlow-Combined'!O95</f>
        <v>Land Acquisition</v>
      </c>
      <c r="I54" s="242">
        <f>'CashFlow-Combined'!P95</f>
        <v>25650000</v>
      </c>
      <c r="J54" s="12"/>
      <c r="K54" s="259">
        <f ca="1">'CashFlow-Combined'!R95</f>
        <v>4.1276413416558216E-2</v>
      </c>
    </row>
    <row r="55" spans="1:11" x14ac:dyDescent="0.2">
      <c r="A55" s="4" t="str">
        <f>'Assumptions-ResRental'!N10</f>
        <v>2 Bedroom</v>
      </c>
      <c r="B55" s="57">
        <f>'Assumptions-ResRental'!O10</f>
        <v>961.69226557377033</v>
      </c>
      <c r="C55" s="111">
        <f>'Assumptions-ResRental'!P10</f>
        <v>1.1157415302283009</v>
      </c>
      <c r="D55" s="221">
        <f>'Assumptions-ResRental'!Q10</f>
        <v>1073</v>
      </c>
      <c r="E55" s="164">
        <f>'Assumptions-ResRental'!R10</f>
        <v>12876</v>
      </c>
      <c r="H55" s="4" t="str">
        <f>'CashFlow-Combined'!O96</f>
        <v>Residential Apartments Construction Costs</v>
      </c>
      <c r="I55" s="242">
        <f>'CashFlow-Combined'!P96</f>
        <v>66726575.870579168</v>
      </c>
      <c r="J55" s="12"/>
      <c r="K55" s="259">
        <f ca="1">'CashFlow-Combined'!R96</f>
        <v>0.10737753339202198</v>
      </c>
    </row>
    <row r="56" spans="1:11" ht="12.75" thickBot="1" x14ac:dyDescent="0.25">
      <c r="A56" s="6" t="str">
        <f>'Assumptions-ResRental'!N11</f>
        <v>3 Bedroom</v>
      </c>
      <c r="B56" s="65">
        <f>'Assumptions-ResRental'!O11</f>
        <v>1152.7017313432834</v>
      </c>
      <c r="C56" s="163">
        <f>'Assumptions-ResRental'!P11</f>
        <v>1.0618531808515896</v>
      </c>
      <c r="D56" s="222">
        <f>'Assumptions-ResRental'!Q11</f>
        <v>1224</v>
      </c>
      <c r="E56" s="166">
        <f>'Assumptions-ResRental'!R11</f>
        <v>14688</v>
      </c>
      <c r="H56" s="4" t="str">
        <f>'CashFlow-Combined'!O97</f>
        <v>Residential Condos Construction Costs</v>
      </c>
      <c r="I56" s="242">
        <f>'CashFlow-Combined'!P97</f>
        <v>85834210.8133246</v>
      </c>
      <c r="J56" s="12"/>
      <c r="K56" s="259">
        <f ca="1">'CashFlow-Combined'!R97</f>
        <v>0.13812586240993363</v>
      </c>
    </row>
    <row r="57" spans="1:11" ht="12.75" thickBot="1" x14ac:dyDescent="0.25">
      <c r="H57" s="4" t="str">
        <f>'CashFlow-Combined'!O98</f>
        <v>Retail Construction Costs</v>
      </c>
      <c r="I57" s="242">
        <f>'CashFlow-Combined'!P98</f>
        <v>49228177.433645606</v>
      </c>
      <c r="J57" s="12"/>
      <c r="K57" s="259">
        <f ca="1">'CashFlow-Combined'!R98</f>
        <v>7.9218814951065808E-2</v>
      </c>
    </row>
    <row r="58" spans="1:11" x14ac:dyDescent="0.2">
      <c r="A58" s="419" t="s">
        <v>215</v>
      </c>
      <c r="B58" s="420"/>
      <c r="C58" s="420"/>
      <c r="D58" s="420"/>
      <c r="E58" s="421"/>
      <c r="H58" s="4" t="str">
        <f>'CashFlow-Combined'!O99</f>
        <v>Office Construction Costs</v>
      </c>
      <c r="I58" s="242">
        <f>'CashFlow-Combined'!P99</f>
        <v>251931064.51512462</v>
      </c>
      <c r="J58" s="12"/>
      <c r="K58" s="259">
        <f ca="1">'CashFlow-Combined'!R99</f>
        <v>0.40541172598050229</v>
      </c>
    </row>
    <row r="59" spans="1:11" x14ac:dyDescent="0.2">
      <c r="A59" s="50" t="s">
        <v>216</v>
      </c>
      <c r="B59" s="34"/>
      <c r="C59" s="64" t="s">
        <v>171</v>
      </c>
      <c r="D59" s="34" t="s">
        <v>171</v>
      </c>
      <c r="E59" s="5" t="s">
        <v>171</v>
      </c>
      <c r="H59" s="4" t="str">
        <f>'CashFlow-Combined'!O100</f>
        <v>Hotel Construction Costs</v>
      </c>
      <c r="I59" s="242">
        <f>'CashFlow-Combined'!P100</f>
        <v>0</v>
      </c>
      <c r="J59" s="12"/>
      <c r="K59" s="259">
        <f ca="1">'CashFlow-Combined'!R100</f>
        <v>0</v>
      </c>
    </row>
    <row r="60" spans="1:11" x14ac:dyDescent="0.2">
      <c r="A60" s="53" t="s">
        <v>63</v>
      </c>
      <c r="B60" s="54" t="s">
        <v>170</v>
      </c>
      <c r="C60" s="55" t="s">
        <v>29</v>
      </c>
      <c r="D60" s="54" t="s">
        <v>28</v>
      </c>
      <c r="E60" s="56" t="s">
        <v>27</v>
      </c>
      <c r="H60" s="4" t="str">
        <f>'CashFlow-Combined'!O101</f>
        <v>Parking Construction Costs</v>
      </c>
      <c r="I60" s="242">
        <f>'CashFlow-Combined'!P101</f>
        <v>67696345.298280075</v>
      </c>
      <c r="J60" s="12"/>
      <c r="K60" s="259">
        <f ca="1">'CashFlow-Combined'!R101</f>
        <v>0.10893810274159398</v>
      </c>
    </row>
    <row r="61" spans="1:11" x14ac:dyDescent="0.2">
      <c r="A61" s="4" t="str">
        <f>'Assumptions-ResCondo'!B9</f>
        <v>Studio/Efficiency</v>
      </c>
      <c r="B61" s="57">
        <f>'Assumptions-ResCondo'!C9</f>
        <v>209</v>
      </c>
      <c r="C61" s="58">
        <f>'Assumptions-ResCondo'!D9</f>
        <v>121</v>
      </c>
      <c r="D61" s="57">
        <f>'Assumptions-ResCondo'!E9</f>
        <v>59</v>
      </c>
      <c r="E61" s="59">
        <f>'Assumptions-ResCondo'!F9</f>
        <v>29</v>
      </c>
      <c r="H61" s="4" t="str">
        <f>'CashFlow-Combined'!O102</f>
        <v>Infrastructure Construction Costs</v>
      </c>
      <c r="I61" s="242">
        <f>'CashFlow-Combined'!P102</f>
        <v>43185052.727272727</v>
      </c>
      <c r="J61" s="12"/>
      <c r="K61" s="259">
        <f ca="1">'CashFlow-Combined'!R102</f>
        <v>6.9494116560887872E-2</v>
      </c>
    </row>
    <row r="62" spans="1:11" x14ac:dyDescent="0.2">
      <c r="A62" s="4" t="str">
        <f>'Assumptions-ResCondo'!B10</f>
        <v>1 Bedroom</v>
      </c>
      <c r="B62" s="57">
        <f>'Assumptions-ResCondo'!C10</f>
        <v>293</v>
      </c>
      <c r="C62" s="58">
        <f>'Assumptions-ResCondo'!D10</f>
        <v>153</v>
      </c>
      <c r="D62" s="57">
        <f>'Assumptions-ResCondo'!E10</f>
        <v>93</v>
      </c>
      <c r="E62" s="59">
        <f>'Assumptions-ResCondo'!F10</f>
        <v>47</v>
      </c>
      <c r="H62" s="4" t="str">
        <f>'CashFlow-Combined'!O103</f>
        <v>Financing Costs</v>
      </c>
      <c r="I62" s="240">
        <f ca="1">'CashFlow-Combined'!P103</f>
        <v>4531753.2128625792</v>
      </c>
      <c r="J62" s="12"/>
      <c r="K62" s="294">
        <f ca="1">'CashFlow-Combined'!R103</f>
        <v>7.2925738446757019E-3</v>
      </c>
    </row>
    <row r="63" spans="1:11" ht="12.75" thickBot="1" x14ac:dyDescent="0.25">
      <c r="A63" s="4" t="str">
        <f>'Assumptions-ResCondo'!B11</f>
        <v>2 Bedroom</v>
      </c>
      <c r="B63" s="57">
        <f>'Assumptions-ResCondo'!C11</f>
        <v>55</v>
      </c>
      <c r="C63" s="58">
        <f>'Assumptions-ResCondo'!D11</f>
        <v>38</v>
      </c>
      <c r="D63" s="57">
        <f>'Assumptions-ResCondo'!E11</f>
        <v>10</v>
      </c>
      <c r="E63" s="59">
        <f>'Assumptions-ResCondo'!F11</f>
        <v>7</v>
      </c>
      <c r="H63" s="6" t="str">
        <f>'CashFlow-Combined'!O104</f>
        <v>Total Uses</v>
      </c>
      <c r="I63" s="295">
        <f ca="1">'CashFlow-Combined'!P104</f>
        <v>594783179.87108946</v>
      </c>
      <c r="J63" s="15"/>
      <c r="K63" s="296">
        <f ca="1">'CashFlow-Combined'!R104</f>
        <v>0.95713514329723959</v>
      </c>
    </row>
    <row r="64" spans="1:11" x14ac:dyDescent="0.2">
      <c r="A64" s="4" t="str">
        <f>'Assumptions-ResCondo'!B12</f>
        <v>3 Bedroom</v>
      </c>
      <c r="B64" s="60">
        <f>'Assumptions-ResCondo'!C12</f>
        <v>46</v>
      </c>
      <c r="C64" s="61">
        <f>'Assumptions-ResCondo'!D12</f>
        <v>29</v>
      </c>
      <c r="D64" s="62">
        <f>'Assumptions-ResCondo'!E12</f>
        <v>13</v>
      </c>
      <c r="E64" s="63">
        <f>'Assumptions-ResCondo'!F12</f>
        <v>4</v>
      </c>
      <c r="H64" s="243" t="s">
        <v>532</v>
      </c>
      <c r="I64" s="12"/>
      <c r="J64" s="12"/>
      <c r="K64" s="13"/>
    </row>
    <row r="65" spans="1:11" x14ac:dyDescent="0.2">
      <c r="A65" s="4" t="str">
        <f>'Assumptions-ResCondo'!B13</f>
        <v>Total</v>
      </c>
      <c r="B65" s="57">
        <f>'Assumptions-ResCondo'!C13</f>
        <v>603</v>
      </c>
      <c r="C65" s="58">
        <f>'Assumptions-ResCondo'!D13</f>
        <v>341</v>
      </c>
      <c r="D65" s="57">
        <f>'Assumptions-ResCondo'!E13</f>
        <v>175</v>
      </c>
      <c r="E65" s="59">
        <f>'Assumptions-ResCondo'!F13</f>
        <v>87</v>
      </c>
      <c r="H65" s="4"/>
      <c r="I65" s="301" t="s">
        <v>512</v>
      </c>
      <c r="J65" s="189"/>
      <c r="K65" s="302" t="s">
        <v>514</v>
      </c>
    </row>
    <row r="66" spans="1:11" x14ac:dyDescent="0.2">
      <c r="A66" s="4"/>
      <c r="B66" s="34"/>
      <c r="C66" s="64"/>
      <c r="D66" s="34"/>
      <c r="E66" s="5"/>
      <c r="H66" s="53" t="s">
        <v>186</v>
      </c>
      <c r="I66" s="191" t="s">
        <v>513</v>
      </c>
      <c r="J66" s="191" t="s">
        <v>510</v>
      </c>
      <c r="K66" s="192" t="s">
        <v>511</v>
      </c>
    </row>
    <row r="67" spans="1:11" x14ac:dyDescent="0.2">
      <c r="A67" s="50" t="s">
        <v>217</v>
      </c>
      <c r="B67" s="34"/>
      <c r="C67" s="64" t="s">
        <v>171</v>
      </c>
      <c r="D67" s="34" t="s">
        <v>171</v>
      </c>
      <c r="E67" s="5" t="s">
        <v>171</v>
      </c>
      <c r="H67" s="4" t="str">
        <f>'CashFlow-Combined'!O108</f>
        <v>Residential Apartments</v>
      </c>
      <c r="I67" s="242">
        <f>'CashFlow-Combined'!P108</f>
        <v>2893060.7500130283</v>
      </c>
      <c r="J67" s="300">
        <f>'CashFlow-Combined'!Q108</f>
        <v>3.7500000000000006E-2</v>
      </c>
      <c r="K67" s="303">
        <f>'CashFlow-Combined'!R108</f>
        <v>77148286.667014077</v>
      </c>
    </row>
    <row r="68" spans="1:11" x14ac:dyDescent="0.2">
      <c r="A68" s="53" t="s">
        <v>63</v>
      </c>
      <c r="B68" s="54" t="s">
        <v>170</v>
      </c>
      <c r="C68" s="55" t="s">
        <v>29</v>
      </c>
      <c r="D68" s="54" t="s">
        <v>28</v>
      </c>
      <c r="E68" s="56" t="s">
        <v>27</v>
      </c>
      <c r="H68" s="4" t="str">
        <f>'CashFlow-Combined'!O109</f>
        <v>Retail</v>
      </c>
      <c r="I68" s="242">
        <f>'CashFlow-Combined'!P109</f>
        <v>4233400.3669685908</v>
      </c>
      <c r="J68" s="300">
        <f>'CashFlow-Combined'!Q109</f>
        <v>4.5000000000000005E-2</v>
      </c>
      <c r="K68" s="303">
        <f>'CashFlow-Combined'!R109</f>
        <v>94075563.710413113</v>
      </c>
    </row>
    <row r="69" spans="1:11" x14ac:dyDescent="0.2">
      <c r="A69" s="4" t="str">
        <f>'Assumptions-ResCondo'!B17</f>
        <v>Studio/Efficiency</v>
      </c>
      <c r="B69" s="57">
        <f>'Assumptions-ResCondo'!C17</f>
        <v>16</v>
      </c>
      <c r="C69" s="58">
        <f>'Assumptions-ResCondo'!D17</f>
        <v>8</v>
      </c>
      <c r="D69" s="57">
        <f>'Assumptions-ResCondo'!E17</f>
        <v>5</v>
      </c>
      <c r="E69" s="59">
        <f>'Assumptions-ResCondo'!F17</f>
        <v>3</v>
      </c>
      <c r="H69" s="4" t="str">
        <f>'CashFlow-Combined'!O110</f>
        <v>Office</v>
      </c>
      <c r="I69" s="242">
        <f>'CashFlow-Combined'!P110</f>
        <v>21425604.438075896</v>
      </c>
      <c r="J69" s="300">
        <f>'CashFlow-Combined'!Q110</f>
        <v>4.5000000000000005E-2</v>
      </c>
      <c r="K69" s="303">
        <f>'CashFlow-Combined'!R110</f>
        <v>476124543.06835318</v>
      </c>
    </row>
    <row r="70" spans="1:11" x14ac:dyDescent="0.2">
      <c r="A70" s="4" t="str">
        <f>'Assumptions-ResCondo'!B18</f>
        <v>1 Bedroom</v>
      </c>
      <c r="B70" s="57">
        <f>'Assumptions-ResCondo'!C18</f>
        <v>23</v>
      </c>
      <c r="C70" s="58">
        <f>'Assumptions-ResCondo'!D18</f>
        <v>12</v>
      </c>
      <c r="D70" s="57">
        <f>'Assumptions-ResCondo'!E18</f>
        <v>7</v>
      </c>
      <c r="E70" s="59">
        <f>'Assumptions-ResCondo'!F18</f>
        <v>4</v>
      </c>
      <c r="H70" s="4" t="str">
        <f>'CashFlow-Combined'!O111</f>
        <v>Hotel</v>
      </c>
      <c r="I70" s="242">
        <f>'CashFlow-Combined'!P111</f>
        <v>0</v>
      </c>
      <c r="J70" s="300">
        <f>'CashFlow-Combined'!Q111</f>
        <v>6.25E-2</v>
      </c>
      <c r="K70" s="303">
        <f>'CashFlow-Combined'!R111</f>
        <v>0</v>
      </c>
    </row>
    <row r="71" spans="1:11" x14ac:dyDescent="0.2">
      <c r="A71" s="4" t="str">
        <f>'Assumptions-ResCondo'!B19</f>
        <v>2 Bedroom</v>
      </c>
      <c r="B71" s="57">
        <f>'Assumptions-ResCondo'!C19</f>
        <v>31</v>
      </c>
      <c r="C71" s="58">
        <f>'Assumptions-ResCondo'!D19</f>
        <v>16</v>
      </c>
      <c r="D71" s="57">
        <f>'Assumptions-ResCondo'!E19</f>
        <v>10</v>
      </c>
      <c r="E71" s="59">
        <f>'Assumptions-ResCondo'!F19</f>
        <v>5</v>
      </c>
      <c r="H71" s="4" t="str">
        <f>'CashFlow-Combined'!O112</f>
        <v>Parking</v>
      </c>
      <c r="I71" s="240">
        <f>'CashFlow-Combined'!P112</f>
        <v>182531.04369621843</v>
      </c>
      <c r="J71" s="300">
        <f>'CashFlow-Combined'!Q112</f>
        <v>0.05</v>
      </c>
      <c r="K71" s="304">
        <f>'CashFlow-Combined'!R112</f>
        <v>3650620.8739243685</v>
      </c>
    </row>
    <row r="72" spans="1:11" x14ac:dyDescent="0.2">
      <c r="A72" s="4" t="str">
        <f>'Assumptions-ResCondo'!B20</f>
        <v>3 Bedroom</v>
      </c>
      <c r="B72" s="60">
        <f>'Assumptions-ResCondo'!C20</f>
        <v>9</v>
      </c>
      <c r="C72" s="61">
        <f>'Assumptions-ResCondo'!D20</f>
        <v>4</v>
      </c>
      <c r="D72" s="62">
        <f>'Assumptions-ResCondo'!E20</f>
        <v>3</v>
      </c>
      <c r="E72" s="63">
        <f>'Assumptions-ResCondo'!F20</f>
        <v>2</v>
      </c>
      <c r="H72" s="4" t="str">
        <f>'CashFlow-Combined'!O113</f>
        <v>Total Cash Flow from Operations</v>
      </c>
      <c r="I72" s="242">
        <f>'CashFlow-Combined'!P113</f>
        <v>28734596.598753732</v>
      </c>
      <c r="J72" s="12"/>
      <c r="K72" s="303">
        <f>'CashFlow-Combined'!R113</f>
        <v>650999014.31970477</v>
      </c>
    </row>
    <row r="73" spans="1:11" ht="12.75" thickBot="1" x14ac:dyDescent="0.25">
      <c r="A73" s="6" t="str">
        <f>'Assumptions-ResCondo'!B21</f>
        <v>Total</v>
      </c>
      <c r="B73" s="65">
        <f>'Assumptions-ResCondo'!C21</f>
        <v>79</v>
      </c>
      <c r="C73" s="66">
        <f>'Assumptions-ResCondo'!D21</f>
        <v>40</v>
      </c>
      <c r="D73" s="65">
        <f>'Assumptions-ResCondo'!E21</f>
        <v>25</v>
      </c>
      <c r="E73" s="67">
        <f>'Assumptions-ResCondo'!F21</f>
        <v>14</v>
      </c>
      <c r="H73" s="4"/>
      <c r="I73" s="242"/>
      <c r="J73" s="12"/>
      <c r="K73" s="247"/>
    </row>
    <row r="74" spans="1:11" ht="12.75" thickBot="1" x14ac:dyDescent="0.25">
      <c r="H74" s="4" t="s">
        <v>515</v>
      </c>
      <c r="I74" s="34"/>
      <c r="J74" s="12"/>
      <c r="K74" s="305">
        <f>'CashFlow-Combined'!R115</f>
        <v>0.65</v>
      </c>
    </row>
    <row r="75" spans="1:11" x14ac:dyDescent="0.2">
      <c r="A75" s="419" t="s">
        <v>223</v>
      </c>
      <c r="B75" s="420"/>
      <c r="C75" s="420"/>
      <c r="D75" s="421"/>
      <c r="H75" s="4" t="s">
        <v>516</v>
      </c>
      <c r="I75" s="34"/>
      <c r="J75" s="12"/>
      <c r="K75" s="303">
        <f>'CashFlow-Combined'!R116</f>
        <v>423149359.3078081</v>
      </c>
    </row>
    <row r="76" spans="1:11" x14ac:dyDescent="0.2">
      <c r="A76" s="53" t="s">
        <v>63</v>
      </c>
      <c r="B76" s="160" t="s">
        <v>173</v>
      </c>
      <c r="C76" s="54" t="s">
        <v>218</v>
      </c>
      <c r="D76" s="56" t="s">
        <v>219</v>
      </c>
      <c r="H76" s="4"/>
      <c r="I76" s="242"/>
      <c r="J76" s="12"/>
      <c r="K76" s="303"/>
    </row>
    <row r="77" spans="1:11" x14ac:dyDescent="0.2">
      <c r="A77" s="539" t="str">
        <f>'Assumptions-ResCondo'!H8</f>
        <v>Studio/Efficiency</v>
      </c>
      <c r="B77" s="541">
        <f>'Assumptions-ResCondo'!I8</f>
        <v>499.97999674267112</v>
      </c>
      <c r="C77" s="221">
        <f>'Assumptions-ResCondo'!J8</f>
        <v>950</v>
      </c>
      <c r="D77" s="555">
        <f>'Assumptions-ResCondo'!K8</f>
        <v>474980.99690553755</v>
      </c>
      <c r="H77" s="4" t="s">
        <v>519</v>
      </c>
      <c r="I77" s="242"/>
      <c r="J77" s="12"/>
      <c r="K77" s="306">
        <f>'CashFlow-Combined'!R118</f>
        <v>1.2</v>
      </c>
    </row>
    <row r="78" spans="1:11" x14ac:dyDescent="0.2">
      <c r="A78" s="539" t="str">
        <f>'Assumptions-ResCondo'!H9</f>
        <v>1 Bedroom</v>
      </c>
      <c r="B78" s="541">
        <f>'Assumptions-ResCondo'!I9</f>
        <v>755.62486688888896</v>
      </c>
      <c r="C78" s="221">
        <f>'Assumptions-ResCondo'!J9</f>
        <v>925</v>
      </c>
      <c r="D78" s="555">
        <f>'Assumptions-ResCondo'!K9</f>
        <v>698953.00187222229</v>
      </c>
      <c r="H78" s="4" t="s">
        <v>520</v>
      </c>
      <c r="I78" s="242"/>
      <c r="J78" s="12"/>
      <c r="K78" s="303">
        <f>'CashFlow-Combined'!R119</f>
        <v>393825922.80431092</v>
      </c>
    </row>
    <row r="79" spans="1:11" x14ac:dyDescent="0.2">
      <c r="A79" s="539" t="str">
        <f>'Assumptions-ResCondo'!H10</f>
        <v>2 Bedroom</v>
      </c>
      <c r="B79" s="541">
        <f>'Assumptions-ResCondo'!I10</f>
        <v>961.69226557377033</v>
      </c>
      <c r="C79" s="221">
        <f>'Assumptions-ResCondo'!J10</f>
        <v>900</v>
      </c>
      <c r="D79" s="555">
        <f>'Assumptions-ResCondo'!K10</f>
        <v>865523.03901639325</v>
      </c>
      <c r="H79" s="4"/>
      <c r="I79" s="242"/>
      <c r="J79" s="12"/>
      <c r="K79" s="303"/>
    </row>
    <row r="80" spans="1:11" ht="12.75" thickBot="1" x14ac:dyDescent="0.25">
      <c r="A80" s="551" t="str">
        <f>'Assumptions-ResCondo'!H11</f>
        <v>3 Bedroom</v>
      </c>
      <c r="B80" s="553">
        <f>'Assumptions-ResCondo'!I11</f>
        <v>1152.7017313432834</v>
      </c>
      <c r="C80" s="222">
        <f>'Assumptions-ResCondo'!J11</f>
        <v>875</v>
      </c>
      <c r="D80" s="556">
        <f>'Assumptions-ResCondo'!K11</f>
        <v>1008614.014925373</v>
      </c>
      <c r="H80" s="4" t="s">
        <v>521</v>
      </c>
      <c r="I80" s="242"/>
      <c r="J80" s="12"/>
      <c r="K80" s="303">
        <f>'CashFlow-Combined'!R121</f>
        <v>393825922.80431092</v>
      </c>
    </row>
    <row r="81" spans="1:11" ht="12.75" thickBot="1" x14ac:dyDescent="0.25">
      <c r="H81" s="4" t="s">
        <v>522</v>
      </c>
      <c r="I81" s="242"/>
      <c r="J81" s="12"/>
      <c r="K81" s="303">
        <f>'CashFlow-Combined'!R122</f>
        <v>23945497.165627878</v>
      </c>
    </row>
    <row r="82" spans="1:11" x14ac:dyDescent="0.2">
      <c r="A82" s="419" t="s">
        <v>224</v>
      </c>
      <c r="B82" s="420"/>
      <c r="C82" s="420"/>
      <c r="D82" s="421"/>
      <c r="H82" s="4" t="s">
        <v>523</v>
      </c>
      <c r="I82" s="12"/>
      <c r="J82" s="12"/>
      <c r="K82" s="247">
        <f>'CashFlow-Combined'!R123</f>
        <v>3938259.2280431092</v>
      </c>
    </row>
    <row r="83" spans="1:11" ht="12.75" thickBot="1" x14ac:dyDescent="0.25">
      <c r="A83" s="53" t="s">
        <v>63</v>
      </c>
      <c r="B83" s="160" t="s">
        <v>173</v>
      </c>
      <c r="C83" s="54" t="s">
        <v>218</v>
      </c>
      <c r="D83" s="56" t="s">
        <v>219</v>
      </c>
      <c r="H83" s="6" t="s">
        <v>525</v>
      </c>
      <c r="I83" s="15"/>
      <c r="J83" s="15"/>
      <c r="K83" s="307">
        <f>'CashFlow-Combined'!R124</f>
        <v>392264248.47900856</v>
      </c>
    </row>
    <row r="84" spans="1:11" ht="12.75" thickBot="1" x14ac:dyDescent="0.25">
      <c r="A84" s="539" t="str">
        <f>'Assumptions-ResCondo'!M8</f>
        <v>Studio/Efficiency</v>
      </c>
      <c r="B84" s="541">
        <f>'Assumptions-ResCondo'!N8</f>
        <v>499.97999674267112</v>
      </c>
      <c r="C84" s="221">
        <f>'Assumptions-ResCondo'!O8</f>
        <v>855</v>
      </c>
      <c r="D84" s="555">
        <f>'Assumptions-ResCondo'!P8</f>
        <v>427482.89721498382</v>
      </c>
    </row>
    <row r="85" spans="1:11" x14ac:dyDescent="0.2">
      <c r="A85" s="539" t="str">
        <f>'Assumptions-ResCondo'!M9</f>
        <v>1 Bedroom</v>
      </c>
      <c r="B85" s="541">
        <f>'Assumptions-ResCondo'!N9</f>
        <v>755.62486688888896</v>
      </c>
      <c r="C85" s="221">
        <f>'Assumptions-ResCondo'!O9</f>
        <v>925</v>
      </c>
      <c r="D85" s="555">
        <f>'Assumptions-ResCondo'!P9</f>
        <v>698953.00187222229</v>
      </c>
      <c r="H85" s="419" t="s">
        <v>540</v>
      </c>
      <c r="I85" s="420"/>
      <c r="J85" s="420"/>
      <c r="K85" s="421"/>
    </row>
    <row r="86" spans="1:11" x14ac:dyDescent="0.2">
      <c r="A86" s="539" t="str">
        <f>'Assumptions-ResCondo'!M10</f>
        <v>2 Bedroom</v>
      </c>
      <c r="B86" s="541">
        <f>'Assumptions-ResCondo'!N10</f>
        <v>961.69226557377033</v>
      </c>
      <c r="C86" s="221">
        <f>'Assumptions-ResCondo'!O10</f>
        <v>900</v>
      </c>
      <c r="D86" s="555">
        <f>'Assumptions-ResCondo'!P10</f>
        <v>865523.03901639325</v>
      </c>
      <c r="H86" s="243" t="s">
        <v>533</v>
      </c>
      <c r="I86" s="12"/>
      <c r="J86" s="291"/>
      <c r="K86" s="13"/>
    </row>
    <row r="87" spans="1:11" ht="12.75" thickBot="1" x14ac:dyDescent="0.25">
      <c r="A87" s="551" t="str">
        <f>'Assumptions-ResCondo'!M11</f>
        <v>3 Bedroom</v>
      </c>
      <c r="B87" s="553">
        <f>'Assumptions-ResCondo'!N11</f>
        <v>1152.7017313432834</v>
      </c>
      <c r="C87" s="222">
        <f>'Assumptions-ResCondo'!O11</f>
        <v>875</v>
      </c>
      <c r="D87" s="556">
        <f>'Assumptions-ResCondo'!P11</f>
        <v>1008614.014925373</v>
      </c>
      <c r="H87" s="4"/>
      <c r="I87" s="244"/>
      <c r="J87" s="12"/>
      <c r="K87" s="245"/>
    </row>
    <row r="88" spans="1:11" ht="12.75" thickBot="1" x14ac:dyDescent="0.25">
      <c r="H88" s="53" t="s">
        <v>489</v>
      </c>
      <c r="I88" s="191" t="s">
        <v>458</v>
      </c>
      <c r="J88" s="292" t="s">
        <v>92</v>
      </c>
      <c r="K88" s="192" t="s">
        <v>494</v>
      </c>
    </row>
    <row r="89" spans="1:11" x14ac:dyDescent="0.2">
      <c r="A89" s="313" t="s">
        <v>225</v>
      </c>
      <c r="B89" s="314"/>
      <c r="C89" s="314"/>
      <c r="D89" s="314"/>
      <c r="E89" s="315"/>
      <c r="H89" s="4" t="str">
        <f>'CashFlow-Combined'!O162</f>
        <v>Equity</v>
      </c>
      <c r="I89" s="297">
        <f ca="1">'CashFlow-Combined'!P162</f>
        <v>78152613.925942421</v>
      </c>
      <c r="J89" s="293">
        <f>'CashFlow-Combined'!Q162</f>
        <v>0.19999999999999996</v>
      </c>
      <c r="K89" s="259">
        <f ca="1">'CashFlow-Combined'!R162</f>
        <v>0.12576450690026761</v>
      </c>
    </row>
    <row r="90" spans="1:11" x14ac:dyDescent="0.2">
      <c r="A90" s="50"/>
      <c r="B90" s="34"/>
      <c r="C90" s="64" t="s">
        <v>171</v>
      </c>
      <c r="D90" s="34" t="s">
        <v>171</v>
      </c>
      <c r="E90" s="5" t="s">
        <v>171</v>
      </c>
      <c r="H90" s="75" t="str">
        <f>'CashFlow-Combined'!O163</f>
        <v>Mezzanine Debt</v>
      </c>
      <c r="I90" s="297">
        <f ca="1">'CashFlow-Combined'!P163</f>
        <v>78152613.925942451</v>
      </c>
      <c r="J90" s="293">
        <f>'CashFlow-Combined'!Q163</f>
        <v>0.2</v>
      </c>
      <c r="K90" s="259">
        <f ca="1">'CashFlow-Combined'!R163</f>
        <v>0.12576450690026766</v>
      </c>
    </row>
    <row r="91" spans="1:11" x14ac:dyDescent="0.2">
      <c r="A91" s="53" t="s">
        <v>226</v>
      </c>
      <c r="B91" s="54" t="s">
        <v>170</v>
      </c>
      <c r="C91" s="55" t="s">
        <v>29</v>
      </c>
      <c r="D91" s="54" t="s">
        <v>28</v>
      </c>
      <c r="E91" s="56" t="s">
        <v>27</v>
      </c>
      <c r="H91" s="75" t="str">
        <f>'CashFlow-Combined'!O164</f>
        <v>Senior Debt</v>
      </c>
      <c r="I91" s="242">
        <f ca="1">'CashFlow-Combined'!P164</f>
        <v>234457841.77782732</v>
      </c>
      <c r="J91" s="293">
        <f>'CashFlow-Combined'!Q164</f>
        <v>0.6</v>
      </c>
      <c r="K91" s="259">
        <f ca="1">'CashFlow-Combined'!R164</f>
        <v>0.37729352070080291</v>
      </c>
    </row>
    <row r="92" spans="1:11" x14ac:dyDescent="0.2">
      <c r="A92" s="4" t="str">
        <f>'Assumptions-Retail'!B9</f>
        <v>Grocery</v>
      </c>
      <c r="B92" s="57">
        <f>'Assumptions-Retail'!C9</f>
        <v>54413</v>
      </c>
      <c r="C92" s="58">
        <f>'Assumptions-Retail'!D9</f>
        <v>0</v>
      </c>
      <c r="D92" s="57">
        <f>'Assumptions-Retail'!E9</f>
        <v>54413</v>
      </c>
      <c r="E92" s="59">
        <f>'Assumptions-Retail'!F9</f>
        <v>0</v>
      </c>
      <c r="H92" s="75" t="str">
        <f>'CashFlow-Combined'!O165</f>
        <v>Condo &amp; Parking Pre-Sales</v>
      </c>
      <c r="I92" s="240">
        <f>'CashFlow-Combined'!P165</f>
        <v>15106705.528153788</v>
      </c>
      <c r="J92" s="293" t="str">
        <f>'CashFlow-Combined'!Q165</f>
        <v>n/a</v>
      </c>
      <c r="K92" s="294">
        <f ca="1">'CashFlow-Combined'!R165</f>
        <v>2.4309965798919343E-2</v>
      </c>
    </row>
    <row r="93" spans="1:11" x14ac:dyDescent="0.2">
      <c r="A93" s="4" t="str">
        <f>'Assumptions-Retail'!B10</f>
        <v>Food Hall</v>
      </c>
      <c r="B93" s="57">
        <f>'Assumptions-Retail'!C10</f>
        <v>22926</v>
      </c>
      <c r="C93" s="58">
        <f>'Assumptions-Retail'!D10</f>
        <v>0</v>
      </c>
      <c r="D93" s="57">
        <f>'Assumptions-Retail'!E10</f>
        <v>22926</v>
      </c>
      <c r="E93" s="59">
        <f>'Assumptions-Retail'!F10</f>
        <v>0</v>
      </c>
      <c r="H93" s="4" t="str">
        <f>'CashFlow-Combined'!O166</f>
        <v>Total Sources</v>
      </c>
      <c r="I93" s="242">
        <f ca="1">'CashFlow-Combined'!P166</f>
        <v>405869775.157866</v>
      </c>
      <c r="J93" s="12"/>
      <c r="K93" s="259">
        <f ca="1">'CashFlow-Combined'!R166</f>
        <v>0.6531325003002576</v>
      </c>
    </row>
    <row r="94" spans="1:11" x14ac:dyDescent="0.2">
      <c r="A94" s="4" t="str">
        <f>'Assumptions-Retail'!B11</f>
        <v>Fitness Center</v>
      </c>
      <c r="B94" s="57">
        <f>'Assumptions-Retail'!C11</f>
        <v>35987</v>
      </c>
      <c r="C94" s="58">
        <f>'Assumptions-Retail'!D11</f>
        <v>0</v>
      </c>
      <c r="D94" s="57">
        <f>'Assumptions-Retail'!E11</f>
        <v>0</v>
      </c>
      <c r="E94" s="59">
        <f>'Assumptions-Retail'!F11</f>
        <v>35987</v>
      </c>
      <c r="H94" s="4"/>
      <c r="I94" s="242"/>
      <c r="J94" s="12"/>
      <c r="K94" s="247"/>
    </row>
    <row r="95" spans="1:11" x14ac:dyDescent="0.2">
      <c r="A95" s="4" t="str">
        <f>'Assumptions-Retail'!B12</f>
        <v>Market Rate Non-Anchor Space</v>
      </c>
      <c r="B95" s="57">
        <f>'Assumptions-Retail'!C12</f>
        <v>104464.15</v>
      </c>
      <c r="C95" s="58">
        <f>'Assumptions-Retail'!D12</f>
        <v>31545.200000000001</v>
      </c>
      <c r="D95" s="57">
        <f>'Assumptions-Retail'!E12</f>
        <v>13089.15</v>
      </c>
      <c r="E95" s="59">
        <f>'Assumptions-Retail'!F12</f>
        <v>59829.799999999996</v>
      </c>
      <c r="H95" s="53" t="s">
        <v>490</v>
      </c>
      <c r="I95" s="191" t="s">
        <v>458</v>
      </c>
      <c r="J95" s="292"/>
      <c r="K95" s="192" t="s">
        <v>494</v>
      </c>
    </row>
    <row r="96" spans="1:11" x14ac:dyDescent="0.2">
      <c r="A96" s="4" t="str">
        <f>'Assumptions-Retail'!B13</f>
        <v>Affordable Non-Anchor Space</v>
      </c>
      <c r="B96" s="60">
        <f>'Assumptions-Retail'!C13</f>
        <v>18434.849999999999</v>
      </c>
      <c r="C96" s="61">
        <f>'Assumptions-Retail'!D13</f>
        <v>5566.8</v>
      </c>
      <c r="D96" s="62">
        <f>'Assumptions-Retail'!E13</f>
        <v>2309.85</v>
      </c>
      <c r="E96" s="63">
        <f>'Assumptions-Retail'!F13</f>
        <v>10558.199999999999</v>
      </c>
      <c r="H96" s="4" t="str">
        <f>'CashFlow-Combined'!O169</f>
        <v>Land Acquisition</v>
      </c>
      <c r="I96" s="242">
        <f>'CashFlow-Combined'!P169</f>
        <v>15600000</v>
      </c>
      <c r="J96" s="12"/>
      <c r="K96" s="259">
        <f ca="1">'CashFlow-Combined'!R169</f>
        <v>2.5103783598374587E-2</v>
      </c>
    </row>
    <row r="97" spans="1:11" ht="12.75" thickBot="1" x14ac:dyDescent="0.25">
      <c r="A97" s="6" t="str">
        <f>'Assumptions-Retail'!B14</f>
        <v>Total</v>
      </c>
      <c r="B97" s="65">
        <f>'Assumptions-Retail'!C14</f>
        <v>236225</v>
      </c>
      <c r="C97" s="66">
        <f>'Assumptions-Retail'!D14</f>
        <v>37112</v>
      </c>
      <c r="D97" s="65">
        <f>'Assumptions-Retail'!E14</f>
        <v>92738</v>
      </c>
      <c r="E97" s="67">
        <f>'Assumptions-Retail'!F14</f>
        <v>106374.99999999999</v>
      </c>
      <c r="H97" s="4" t="str">
        <f>'CashFlow-Combined'!O170</f>
        <v>Residential Apartments Construction Costs</v>
      </c>
      <c r="I97" s="242">
        <f>'CashFlow-Combined'!P170</f>
        <v>58628191.660613455</v>
      </c>
      <c r="J97" s="12"/>
      <c r="K97" s="259">
        <f ca="1">'CashFlow-Combined'!R170</f>
        <v>9.4345476680260887E-2</v>
      </c>
    </row>
    <row r="98" spans="1:11" ht="12.75" thickBot="1" x14ac:dyDescent="0.25">
      <c r="H98" s="4" t="str">
        <f>'CashFlow-Combined'!O171</f>
        <v>Residential Condos Construction Costs</v>
      </c>
      <c r="I98" s="242">
        <f>'CashFlow-Combined'!P171</f>
        <v>49444515.571131125</v>
      </c>
      <c r="J98" s="12"/>
      <c r="K98" s="259">
        <f ca="1">'CashFlow-Combined'!R171</f>
        <v>7.9566949937444773E-2</v>
      </c>
    </row>
    <row r="99" spans="1:11" x14ac:dyDescent="0.2">
      <c r="A99" s="419" t="s">
        <v>232</v>
      </c>
      <c r="B99" s="420"/>
      <c r="C99" s="420"/>
      <c r="D99" s="421"/>
      <c r="H99" s="4" t="str">
        <f>'CashFlow-Combined'!O172</f>
        <v>Retail Construction Costs</v>
      </c>
      <c r="I99" s="242">
        <f>'CashFlow-Combined'!P172</f>
        <v>87134453.916696787</v>
      </c>
      <c r="J99" s="12"/>
      <c r="K99" s="259">
        <f ca="1">'CashFlow-Combined'!R172</f>
        <v>0.14021823558251917</v>
      </c>
    </row>
    <row r="100" spans="1:11" x14ac:dyDescent="0.2">
      <c r="A100" s="4"/>
      <c r="B100" s="431" t="s">
        <v>174</v>
      </c>
      <c r="C100" s="432"/>
      <c r="D100" s="13"/>
      <c r="H100" s="4" t="str">
        <f>'CashFlow-Combined'!O173</f>
        <v>Office Construction Costs</v>
      </c>
      <c r="I100" s="242">
        <f>'CashFlow-Combined'!P173</f>
        <v>0</v>
      </c>
      <c r="J100" s="12"/>
      <c r="K100" s="259">
        <f ca="1">'CashFlow-Combined'!R173</f>
        <v>0</v>
      </c>
    </row>
    <row r="101" spans="1:11" x14ac:dyDescent="0.2">
      <c r="A101" s="53" t="s">
        <v>226</v>
      </c>
      <c r="B101" s="196" t="s">
        <v>237</v>
      </c>
      <c r="C101" s="198" t="s">
        <v>238</v>
      </c>
      <c r="D101" s="192" t="s">
        <v>233</v>
      </c>
      <c r="H101" s="4" t="str">
        <f>'CashFlow-Combined'!O174</f>
        <v>Hotel Construction Costs</v>
      </c>
      <c r="I101" s="242">
        <f>'CashFlow-Combined'!P174</f>
        <v>189001660.96753842</v>
      </c>
      <c r="J101" s="12"/>
      <c r="K101" s="259">
        <f ca="1">'CashFlow-Combined'!R174</f>
        <v>0.30414466645272087</v>
      </c>
    </row>
    <row r="102" spans="1:11" x14ac:dyDescent="0.2">
      <c r="A102" s="539" t="str">
        <f>'Assumptions-Retail'!K9</f>
        <v>Grocery</v>
      </c>
      <c r="B102" s="557">
        <f>'Assumptions-Retail'!L9</f>
        <v>33</v>
      </c>
      <c r="C102" s="225">
        <f>'Assumptions-Retail'!M9</f>
        <v>2.75</v>
      </c>
      <c r="D102" s="558" t="str">
        <f>'Assumptions-Retail'!N9</f>
        <v>NNN</v>
      </c>
      <c r="H102" s="4" t="str">
        <f>'CashFlow-Combined'!O175</f>
        <v>Parking Construction Costs</v>
      </c>
      <c r="I102" s="242">
        <f>'CashFlow-Combined'!P175</f>
        <v>0</v>
      </c>
      <c r="J102" s="12"/>
      <c r="K102" s="259">
        <f ca="1">'CashFlow-Combined'!R175</f>
        <v>0</v>
      </c>
    </row>
    <row r="103" spans="1:11" x14ac:dyDescent="0.2">
      <c r="A103" s="539" t="str">
        <f>'Assumptions-Retail'!K10</f>
        <v>Food Hall</v>
      </c>
      <c r="B103" s="557">
        <f>'Assumptions-Retail'!L10</f>
        <v>33</v>
      </c>
      <c r="C103" s="225">
        <f>'Assumptions-Retail'!M10</f>
        <v>2.75</v>
      </c>
      <c r="D103" s="558" t="str">
        <f>'Assumptions-Retail'!N10</f>
        <v>NNN</v>
      </c>
      <c r="H103" s="4" t="str">
        <f>'CashFlow-Combined'!O176</f>
        <v>Infrastructure Construction Costs</v>
      </c>
      <c r="I103" s="242">
        <f>'CashFlow-Combined'!P176</f>
        <v>2934848.4848484849</v>
      </c>
      <c r="J103" s="12"/>
      <c r="K103" s="259">
        <f ca="1">'CashFlow-Combined'!R176</f>
        <v>4.7228077729265325E-3</v>
      </c>
    </row>
    <row r="104" spans="1:11" x14ac:dyDescent="0.2">
      <c r="A104" s="539" t="str">
        <f>'Assumptions-Retail'!K11</f>
        <v>Fitness Center</v>
      </c>
      <c r="B104" s="557">
        <f>'Assumptions-Retail'!L11</f>
        <v>33</v>
      </c>
      <c r="C104" s="225">
        <f>'Assumptions-Retail'!M11</f>
        <v>2.75</v>
      </c>
      <c r="D104" s="558" t="str">
        <f>'Assumptions-Retail'!N11</f>
        <v>NNN</v>
      </c>
      <c r="H104" s="4" t="str">
        <f>'CashFlow-Combined'!O177</f>
        <v>Financing Costs</v>
      </c>
      <c r="I104" s="240">
        <f ca="1">'CashFlow-Combined'!P177</f>
        <v>3126104.5570376976</v>
      </c>
      <c r="J104" s="12"/>
      <c r="K104" s="294">
        <f ca="1">'CashFlow-Combined'!R177</f>
        <v>5.0305802760107054E-3</v>
      </c>
    </row>
    <row r="105" spans="1:11" ht="12.75" thickBot="1" x14ac:dyDescent="0.25">
      <c r="A105" s="539" t="str">
        <f>'Assumptions-Retail'!K12</f>
        <v>Market Rate Non-Anchor Space</v>
      </c>
      <c r="B105" s="557">
        <f>'Assumptions-Retail'!L12</f>
        <v>65</v>
      </c>
      <c r="C105" s="225">
        <f>'Assumptions-Retail'!M12</f>
        <v>5.416666666666667</v>
      </c>
      <c r="D105" s="558" t="str">
        <f>'Assumptions-Retail'!N12</f>
        <v>NNN</v>
      </c>
      <c r="H105" s="6" t="str">
        <f>'CashFlow-Combined'!O178</f>
        <v>Total Uses</v>
      </c>
      <c r="I105" s="295">
        <f ca="1">'CashFlow-Combined'!P178</f>
        <v>405869775.157866</v>
      </c>
      <c r="J105" s="15"/>
      <c r="K105" s="296">
        <f ca="1">'CashFlow-Combined'!R178</f>
        <v>0.6531325003002576</v>
      </c>
    </row>
    <row r="106" spans="1:11" x14ac:dyDescent="0.2">
      <c r="A106" s="539" t="str">
        <f>'Assumptions-Retail'!K13</f>
        <v>Affordable Non-Anchor Space</v>
      </c>
      <c r="B106" s="231">
        <f>'Assumptions-Retail'!L13</f>
        <v>52</v>
      </c>
      <c r="C106" s="227">
        <f>'Assumptions-Retail'!M13</f>
        <v>4.333333333333333</v>
      </c>
      <c r="D106" s="559" t="str">
        <f>'Assumptions-Retail'!N13</f>
        <v>NNN</v>
      </c>
      <c r="H106" s="243" t="s">
        <v>534</v>
      </c>
      <c r="I106" s="12"/>
      <c r="J106" s="12"/>
      <c r="K106" s="13"/>
    </row>
    <row r="107" spans="1:11" ht="12.75" thickBot="1" x14ac:dyDescent="0.25">
      <c r="A107" s="551" t="str">
        <f>'Assumptions-Retail'!K14</f>
        <v>Weighted Avg.</v>
      </c>
      <c r="B107" s="230">
        <f>'Assumptions-Retail'!L14</f>
        <v>48.633886972166366</v>
      </c>
      <c r="C107" s="229">
        <f>'Assumptions-Retail'!M14</f>
        <v>4.0528239143471971</v>
      </c>
      <c r="D107" s="560" t="str">
        <f>'Assumptions-Retail'!N14</f>
        <v>NNN</v>
      </c>
      <c r="H107" s="4"/>
      <c r="I107" s="301" t="s">
        <v>512</v>
      </c>
      <c r="J107" s="189"/>
      <c r="K107" s="302" t="s">
        <v>514</v>
      </c>
    </row>
    <row r="108" spans="1:11" ht="12.75" thickBot="1" x14ac:dyDescent="0.25">
      <c r="H108" s="53" t="s">
        <v>186</v>
      </c>
      <c r="I108" s="191" t="s">
        <v>513</v>
      </c>
      <c r="J108" s="191" t="s">
        <v>510</v>
      </c>
      <c r="K108" s="192" t="s">
        <v>511</v>
      </c>
    </row>
    <row r="109" spans="1:11" x14ac:dyDescent="0.2">
      <c r="A109" s="419" t="s">
        <v>239</v>
      </c>
      <c r="B109" s="420"/>
      <c r="C109" s="420"/>
      <c r="D109" s="420"/>
      <c r="E109" s="421"/>
      <c r="H109" s="4" t="str">
        <f>'CashFlow-Combined'!O182</f>
        <v>Residential Apartments</v>
      </c>
      <c r="I109" s="242">
        <f>'CashFlow-Combined'!P182</f>
        <v>2855128.7142384076</v>
      </c>
      <c r="J109" s="300">
        <f>'CashFlow-Combined'!Q182</f>
        <v>3.7500000000000006E-2</v>
      </c>
      <c r="K109" s="303">
        <f>'CashFlow-Combined'!R182</f>
        <v>76136765.713024184</v>
      </c>
    </row>
    <row r="110" spans="1:11" x14ac:dyDescent="0.2">
      <c r="A110" s="50"/>
      <c r="B110" s="34"/>
      <c r="C110" s="64" t="s">
        <v>171</v>
      </c>
      <c r="D110" s="34" t="s">
        <v>171</v>
      </c>
      <c r="E110" s="5" t="s">
        <v>171</v>
      </c>
      <c r="H110" s="4" t="str">
        <f>'CashFlow-Combined'!O183</f>
        <v>Retail</v>
      </c>
      <c r="I110" s="242">
        <f>'CashFlow-Combined'!P183</f>
        <v>6940104.2612091526</v>
      </c>
      <c r="J110" s="300">
        <f>'CashFlow-Combined'!Q183</f>
        <v>4.5000000000000005E-2</v>
      </c>
      <c r="K110" s="303">
        <f>'CashFlow-Combined'!R183</f>
        <v>154224539.13798115</v>
      </c>
    </row>
    <row r="111" spans="1:11" x14ac:dyDescent="0.2">
      <c r="A111" s="53" t="s">
        <v>226</v>
      </c>
      <c r="B111" s="54" t="s">
        <v>170</v>
      </c>
      <c r="C111" s="55" t="s">
        <v>29</v>
      </c>
      <c r="D111" s="54" t="s">
        <v>28</v>
      </c>
      <c r="E111" s="56" t="s">
        <v>27</v>
      </c>
      <c r="H111" s="4" t="str">
        <f>'CashFlow-Combined'!O184</f>
        <v>Office</v>
      </c>
      <c r="I111" s="242">
        <f>'CashFlow-Combined'!P184</f>
        <v>0</v>
      </c>
      <c r="J111" s="300">
        <f>'CashFlow-Combined'!Q184</f>
        <v>4.5000000000000005E-2</v>
      </c>
      <c r="K111" s="303">
        <f>'CashFlow-Combined'!R184</f>
        <v>0</v>
      </c>
    </row>
    <row r="112" spans="1:11" x14ac:dyDescent="0.2">
      <c r="A112" s="4" t="str">
        <f>'Assumptions-Office'!B9</f>
        <v>Market Rate Office Space</v>
      </c>
      <c r="B112" s="57">
        <f>'Assumptions-Office'!C9</f>
        <v>1112101.2</v>
      </c>
      <c r="C112" s="58">
        <f>'Assumptions-Office'!D9</f>
        <v>657093.6</v>
      </c>
      <c r="D112" s="57">
        <f>'Assumptions-Office'!E9</f>
        <v>455007.60000000003</v>
      </c>
      <c r="E112" s="59">
        <f>'Assumptions-Office'!F9</f>
        <v>0</v>
      </c>
      <c r="H112" s="4" t="str">
        <f>'CashFlow-Combined'!O185</f>
        <v>Hotel</v>
      </c>
      <c r="I112" s="242">
        <f>'CashFlow-Combined'!P185</f>
        <v>28737600.01644253</v>
      </c>
      <c r="J112" s="300">
        <f>'CashFlow-Combined'!Q185</f>
        <v>6.25E-2</v>
      </c>
      <c r="K112" s="303">
        <f>'CashFlow-Combined'!R185</f>
        <v>459801600.26308048</v>
      </c>
    </row>
    <row r="113" spans="1:11" x14ac:dyDescent="0.2">
      <c r="A113" s="4" t="str">
        <f>'Assumptions-Office'!B10</f>
        <v>Affordable Office Space</v>
      </c>
      <c r="B113" s="60">
        <f>'Assumptions-Office'!C10</f>
        <v>123566.80000000002</v>
      </c>
      <c r="C113" s="61">
        <f>'Assumptions-Office'!D10</f>
        <v>73010.400000000009</v>
      </c>
      <c r="D113" s="62">
        <f>'Assumptions-Office'!E10</f>
        <v>50556.4</v>
      </c>
      <c r="E113" s="63">
        <f>'Assumptions-Office'!F10</f>
        <v>0</v>
      </c>
      <c r="H113" s="4" t="str">
        <f>'CashFlow-Combined'!O186</f>
        <v>Parking</v>
      </c>
      <c r="I113" s="240">
        <f>'CashFlow-Combined'!P186</f>
        <v>0</v>
      </c>
      <c r="J113" s="300">
        <f>'CashFlow-Combined'!Q186</f>
        <v>0.05</v>
      </c>
      <c r="K113" s="304">
        <f>'CashFlow-Combined'!R186</f>
        <v>0</v>
      </c>
    </row>
    <row r="114" spans="1:11" ht="12.75" thickBot="1" x14ac:dyDescent="0.25">
      <c r="A114" s="6" t="str">
        <f>'Assumptions-Office'!B11</f>
        <v>Total</v>
      </c>
      <c r="B114" s="65">
        <f>'Assumptions-Office'!C11</f>
        <v>1235668</v>
      </c>
      <c r="C114" s="66">
        <f>'Assumptions-Office'!D11</f>
        <v>730104</v>
      </c>
      <c r="D114" s="65">
        <f>'Assumptions-Office'!E11</f>
        <v>505564.00000000006</v>
      </c>
      <c r="E114" s="67">
        <f>'Assumptions-Office'!F11</f>
        <v>0</v>
      </c>
      <c r="H114" s="4" t="str">
        <f>'CashFlow-Combined'!O187</f>
        <v>Total Cash Flow from Operations</v>
      </c>
      <c r="I114" s="242">
        <f>'CashFlow-Combined'!P187</f>
        <v>38532832.991890088</v>
      </c>
      <c r="J114" s="12"/>
      <c r="K114" s="303">
        <f>'CashFlow-Combined'!R187</f>
        <v>690162905.11408579</v>
      </c>
    </row>
    <row r="115" spans="1:11" ht="12.75" thickBot="1" x14ac:dyDescent="0.25">
      <c r="A115" s="12"/>
      <c r="B115" s="57"/>
      <c r="C115" s="57"/>
      <c r="D115" s="57"/>
      <c r="E115" s="57"/>
      <c r="H115" s="4"/>
      <c r="I115" s="242"/>
      <c r="J115" s="12"/>
      <c r="K115" s="247"/>
    </row>
    <row r="116" spans="1:11" x14ac:dyDescent="0.2">
      <c r="A116" s="419" t="s">
        <v>244</v>
      </c>
      <c r="B116" s="420"/>
      <c r="C116" s="420"/>
      <c r="D116" s="420"/>
      <c r="E116" s="420"/>
      <c r="F116" s="421"/>
      <c r="H116" s="4" t="s">
        <v>515</v>
      </c>
      <c r="I116" s="34"/>
      <c r="J116" s="12"/>
      <c r="K116" s="305">
        <f>'CashFlow-Combined'!R189</f>
        <v>0.65</v>
      </c>
    </row>
    <row r="117" spans="1:11" x14ac:dyDescent="0.2">
      <c r="A117" s="4"/>
      <c r="B117" s="431" t="s">
        <v>245</v>
      </c>
      <c r="C117" s="432"/>
      <c r="D117" s="431" t="s">
        <v>246</v>
      </c>
      <c r="E117" s="432"/>
      <c r="F117" s="190" t="s">
        <v>248</v>
      </c>
      <c r="H117" s="4" t="s">
        <v>516</v>
      </c>
      <c r="I117" s="34"/>
      <c r="J117" s="12"/>
      <c r="K117" s="303">
        <f>'CashFlow-Combined'!R190</f>
        <v>448605888.32415581</v>
      </c>
    </row>
    <row r="118" spans="1:11" x14ac:dyDescent="0.2">
      <c r="A118" s="53" t="s">
        <v>226</v>
      </c>
      <c r="B118" s="196" t="s">
        <v>237</v>
      </c>
      <c r="C118" s="198" t="s">
        <v>238</v>
      </c>
      <c r="D118" s="196" t="s">
        <v>237</v>
      </c>
      <c r="E118" s="198" t="s">
        <v>238</v>
      </c>
      <c r="F118" s="192" t="s">
        <v>249</v>
      </c>
      <c r="H118" s="4"/>
      <c r="I118" s="242"/>
      <c r="J118" s="12"/>
      <c r="K118" s="303"/>
    </row>
    <row r="119" spans="1:11" x14ac:dyDescent="0.2">
      <c r="A119" s="539" t="str">
        <f>'Assumptions-Office'!K9</f>
        <v>Market Rate Office Space</v>
      </c>
      <c r="B119" s="557">
        <f>'Assumptions-Office'!L9</f>
        <v>38</v>
      </c>
      <c r="C119" s="225">
        <f>'Assumptions-Office'!M9</f>
        <v>3.1666666666666665</v>
      </c>
      <c r="D119" s="557">
        <f>'Assumptions-Office'!N9</f>
        <v>18</v>
      </c>
      <c r="E119" s="225">
        <f>'Assumptions-Office'!O9</f>
        <v>1.5</v>
      </c>
      <c r="F119" s="558" t="str">
        <f>'Assumptions-Office'!P9</f>
        <v>FSG</v>
      </c>
      <c r="H119" s="4" t="s">
        <v>519</v>
      </c>
      <c r="I119" s="242"/>
      <c r="J119" s="12"/>
      <c r="K119" s="306">
        <f>'CashFlow-Combined'!R192</f>
        <v>1.2</v>
      </c>
    </row>
    <row r="120" spans="1:11" x14ac:dyDescent="0.2">
      <c r="A120" s="539" t="str">
        <f>'Assumptions-Office'!K10</f>
        <v>Affordable Office Space</v>
      </c>
      <c r="B120" s="231">
        <f>'Assumptions-Office'!L10</f>
        <v>32.299999999999997</v>
      </c>
      <c r="C120" s="227">
        <f>'Assumptions-Office'!M10</f>
        <v>2.6916666666666664</v>
      </c>
      <c r="D120" s="231">
        <f>'Assumptions-Office'!N10</f>
        <v>18</v>
      </c>
      <c r="E120" s="227">
        <f>'Assumptions-Office'!O10</f>
        <v>1.5</v>
      </c>
      <c r="F120" s="559" t="str">
        <f>'Assumptions-Office'!P10</f>
        <v>FSG</v>
      </c>
      <c r="H120" s="4" t="s">
        <v>520</v>
      </c>
      <c r="I120" s="242"/>
      <c r="J120" s="12"/>
      <c r="K120" s="303">
        <f>'CashFlow-Combined'!R193</f>
        <v>528116984.66487914</v>
      </c>
    </row>
    <row r="121" spans="1:11" ht="12.75" thickBot="1" x14ac:dyDescent="0.25">
      <c r="A121" s="551" t="str">
        <f>'Assumptions-Office'!K11</f>
        <v>Weighted Avg.</v>
      </c>
      <c r="B121" s="230">
        <f>'Assumptions-Office'!L11</f>
        <v>37.43</v>
      </c>
      <c r="C121" s="229">
        <f>'Assumptions-Office'!M11</f>
        <v>3.1191666666666666</v>
      </c>
      <c r="D121" s="230">
        <f>'Assumptions-Office'!N11</f>
        <v>17.999999999999996</v>
      </c>
      <c r="E121" s="229">
        <f>'Assumptions-Office'!O11</f>
        <v>1.4999999999999998</v>
      </c>
      <c r="F121" s="560" t="str">
        <f>'Assumptions-Office'!P11</f>
        <v>FSG</v>
      </c>
      <c r="H121" s="4"/>
      <c r="I121" s="242"/>
      <c r="J121" s="12"/>
      <c r="K121" s="303"/>
    </row>
    <row r="122" spans="1:11" ht="12.75" thickBot="1" x14ac:dyDescent="0.25">
      <c r="H122" s="4" t="s">
        <v>521</v>
      </c>
      <c r="I122" s="242"/>
      <c r="J122" s="12"/>
      <c r="K122" s="303">
        <f>'CashFlow-Combined'!R195</f>
        <v>448605888.32415581</v>
      </c>
    </row>
    <row r="123" spans="1:11" x14ac:dyDescent="0.2">
      <c r="A123" s="419" t="s">
        <v>267</v>
      </c>
      <c r="B123" s="420"/>
      <c r="C123" s="420"/>
      <c r="D123" s="420"/>
      <c r="E123" s="421"/>
      <c r="H123" s="4" t="s">
        <v>522</v>
      </c>
      <c r="I123" s="242"/>
      <c r="J123" s="12"/>
      <c r="K123" s="303">
        <f>'CashFlow-Combined'!R196</f>
        <v>27276241.621828716</v>
      </c>
    </row>
    <row r="124" spans="1:11" x14ac:dyDescent="0.2">
      <c r="A124" s="50"/>
      <c r="B124" s="34"/>
      <c r="C124" s="64" t="s">
        <v>171</v>
      </c>
      <c r="D124" s="34" t="s">
        <v>171</v>
      </c>
      <c r="E124" s="5" t="s">
        <v>171</v>
      </c>
      <c r="H124" s="4" t="s">
        <v>523</v>
      </c>
      <c r="I124" s="12"/>
      <c r="J124" s="12"/>
      <c r="K124" s="247">
        <f>'CashFlow-Combined'!R197</f>
        <v>4486058.8832415584</v>
      </c>
    </row>
    <row r="125" spans="1:11" ht="12.75" thickBot="1" x14ac:dyDescent="0.25">
      <c r="A125" s="53" t="s">
        <v>271</v>
      </c>
      <c r="B125" s="54" t="s">
        <v>170</v>
      </c>
      <c r="C125" s="55" t="s">
        <v>29</v>
      </c>
      <c r="D125" s="54" t="s">
        <v>28</v>
      </c>
      <c r="E125" s="56" t="s">
        <v>27</v>
      </c>
      <c r="H125" s="6" t="s">
        <v>525</v>
      </c>
      <c r="I125" s="15"/>
      <c r="J125" s="15"/>
      <c r="K125" s="307">
        <f>'CashFlow-Combined'!R198</f>
        <v>448015140.27021462</v>
      </c>
    </row>
    <row r="126" spans="1:11" x14ac:dyDescent="0.2">
      <c r="A126" s="4" t="str">
        <f>'Assumptions-Hotel'!B9</f>
        <v>Lifestyle Hotel</v>
      </c>
      <c r="B126" s="57">
        <f>'Assumptions-Hotel'!C9</f>
        <v>402</v>
      </c>
      <c r="C126" s="58">
        <f>'Assumptions-Hotel'!D9</f>
        <v>0</v>
      </c>
      <c r="D126" s="57">
        <f>'Assumptions-Hotel'!E9</f>
        <v>0</v>
      </c>
      <c r="E126" s="59">
        <f>'Assumptions-Hotel'!F9</f>
        <v>402</v>
      </c>
    </row>
    <row r="127" spans="1:11" x14ac:dyDescent="0.2">
      <c r="A127" s="4" t="str">
        <f>'Assumptions-Hotel'!B10</f>
        <v>Boutique Hotel</v>
      </c>
      <c r="B127" s="60">
        <f>'Assumptions-Hotel'!C10</f>
        <v>250</v>
      </c>
      <c r="C127" s="61">
        <f>'Assumptions-Hotel'!D10</f>
        <v>0</v>
      </c>
      <c r="D127" s="62">
        <f>'Assumptions-Hotel'!E10</f>
        <v>0</v>
      </c>
      <c r="E127" s="63">
        <f>'Assumptions-Hotel'!F10</f>
        <v>250</v>
      </c>
    </row>
    <row r="128" spans="1:11" ht="12.75" thickBot="1" x14ac:dyDescent="0.25">
      <c r="A128" s="6" t="str">
        <f>'Assumptions-Hotel'!B11</f>
        <v>Total</v>
      </c>
      <c r="B128" s="65">
        <f>'Assumptions-Hotel'!C11</f>
        <v>652</v>
      </c>
      <c r="C128" s="66">
        <f>'Assumptions-Hotel'!D11</f>
        <v>0</v>
      </c>
      <c r="D128" s="65">
        <f>'Assumptions-Hotel'!E11</f>
        <v>0</v>
      </c>
      <c r="E128" s="67">
        <f>'Assumptions-Hotel'!F11</f>
        <v>652</v>
      </c>
    </row>
    <row r="129" spans="1:4" ht="12.75" thickBot="1" x14ac:dyDescent="0.25"/>
    <row r="130" spans="1:4" x14ac:dyDescent="0.2">
      <c r="A130" s="419" t="s">
        <v>270</v>
      </c>
      <c r="B130" s="420"/>
      <c r="C130" s="420"/>
      <c r="D130" s="421"/>
    </row>
    <row r="131" spans="1:4" x14ac:dyDescent="0.2">
      <c r="A131" s="53" t="s">
        <v>271</v>
      </c>
      <c r="B131" s="160" t="s">
        <v>272</v>
      </c>
      <c r="C131" s="54" t="s">
        <v>273</v>
      </c>
      <c r="D131" s="56" t="s">
        <v>274</v>
      </c>
    </row>
    <row r="132" spans="1:4" x14ac:dyDescent="0.2">
      <c r="A132" s="539" t="str">
        <f>'Assumptions-Hotel'!H8</f>
        <v>Lifestyle Hotel</v>
      </c>
      <c r="B132" s="552">
        <f>'Assumptions-Hotel'!I8</f>
        <v>275</v>
      </c>
      <c r="C132" s="561">
        <f>'Assumptions-Hotel'!J8</f>
        <v>0.85</v>
      </c>
      <c r="D132" s="562">
        <f>'Assumptions-Hotel'!K8</f>
        <v>233.75</v>
      </c>
    </row>
    <row r="133" spans="1:4" ht="12.75" thickBot="1" x14ac:dyDescent="0.25">
      <c r="A133" s="551" t="str">
        <f>'Assumptions-Hotel'!H9</f>
        <v>Boutique Hotel</v>
      </c>
      <c r="B133" s="554">
        <f>'Assumptions-Hotel'!I9</f>
        <v>235</v>
      </c>
      <c r="C133" s="563">
        <f>'Assumptions-Hotel'!J9</f>
        <v>0.85</v>
      </c>
      <c r="D133" s="564">
        <f>'Assumptions-Hotel'!K9</f>
        <v>199.75</v>
      </c>
    </row>
  </sheetData>
  <mergeCells count="18">
    <mergeCell ref="A51:E51"/>
    <mergeCell ref="A82:D82"/>
    <mergeCell ref="A109:E109"/>
    <mergeCell ref="A116:F116"/>
    <mergeCell ref="B117:C117"/>
    <mergeCell ref="D117:E117"/>
    <mergeCell ref="A123:E123"/>
    <mergeCell ref="A130:D130"/>
    <mergeCell ref="A99:D99"/>
    <mergeCell ref="B100:C100"/>
    <mergeCell ref="A27:E27"/>
    <mergeCell ref="A58:E58"/>
    <mergeCell ref="A44:E44"/>
    <mergeCell ref="A75:D75"/>
    <mergeCell ref="H1:K1"/>
    <mergeCell ref="H43:K43"/>
    <mergeCell ref="H85:K85"/>
    <mergeCell ref="A1:D1"/>
  </mergeCells>
  <pageMargins left="0.7" right="0.7" top="1.5" bottom="0.75" header="0.5" footer="0.3"/>
  <pageSetup paperSize="3" scale="68" orientation="portrait" r:id="rId1"/>
  <headerFooter>
    <oddHeader>&amp;C&amp;G</oddHeader>
    <oddFooter>&amp;RTEAM 181430_FINANCIAL PRO FORMA (2 OF 2)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3897-B295-49A9-A85E-3CC96900C737}">
  <sheetPr>
    <tabColor theme="5" tint="0.79998168889431442"/>
  </sheetPr>
  <dimension ref="B1:T304"/>
  <sheetViews>
    <sheetView topLeftCell="A238" workbookViewId="0">
      <selection activeCell="O158" sqref="O158:R198"/>
    </sheetView>
    <sheetView workbookViewId="1"/>
  </sheetViews>
  <sheetFormatPr defaultRowHeight="12" x14ac:dyDescent="0.2"/>
  <cols>
    <col min="1" max="1" width="2.85546875" style="1" customWidth="1"/>
    <col min="2" max="2" width="35.85546875" style="1" bestFit="1" customWidth="1"/>
    <col min="3" max="3" width="9.140625" style="1"/>
    <col min="4" max="12" width="11.42578125" style="1" customWidth="1"/>
    <col min="13" max="13" width="12.28515625" style="1" bestFit="1" customWidth="1"/>
    <col min="14" max="14" width="2.85546875" style="1" customWidth="1"/>
    <col min="15" max="15" width="35.140625" style="1" bestFit="1" customWidth="1"/>
    <col min="16" max="16" width="14.140625" style="1" bestFit="1" customWidth="1"/>
    <col min="17" max="17" width="10.42578125" style="1" bestFit="1" customWidth="1"/>
    <col min="18" max="18" width="10.85546875" style="1" bestFit="1" customWidth="1"/>
    <col min="19" max="16384" width="9.140625" style="1"/>
  </cols>
  <sheetData>
    <row r="1" spans="2:20" ht="12.75" thickBot="1" x14ac:dyDescent="0.25"/>
    <row r="2" spans="2:20" x14ac:dyDescent="0.2">
      <c r="B2" s="417" t="s">
        <v>59</v>
      </c>
      <c r="C2" s="418"/>
    </row>
    <row r="3" spans="2:20" x14ac:dyDescent="0.2">
      <c r="B3" s="4" t="s">
        <v>58</v>
      </c>
      <c r="C3" s="5" t="str">
        <f>ProjectName</f>
        <v>Montage</v>
      </c>
    </row>
    <row r="4" spans="2:20" ht="12.75" thickBot="1" x14ac:dyDescent="0.25">
      <c r="B4" s="6" t="s">
        <v>56</v>
      </c>
      <c r="C4" s="7">
        <f>TeamNumber</f>
        <v>181430</v>
      </c>
    </row>
    <row r="5" spans="2:20" ht="12.75" thickBot="1" x14ac:dyDescent="0.25"/>
    <row r="6" spans="2:20" x14ac:dyDescent="0.2">
      <c r="B6" s="419" t="s">
        <v>400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1"/>
    </row>
    <row r="7" spans="2:20" x14ac:dyDescent="0.2">
      <c r="B7" s="4" t="s">
        <v>290</v>
      </c>
      <c r="C7" s="12"/>
      <c r="D7" s="12">
        <v>1</v>
      </c>
      <c r="E7" s="12">
        <f>D7+1</f>
        <v>2</v>
      </c>
      <c r="F7" s="12">
        <f t="shared" ref="F7:M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3">
        <f t="shared" si="0"/>
        <v>10</v>
      </c>
    </row>
    <row r="8" spans="2:20" x14ac:dyDescent="0.2">
      <c r="B8" s="4" t="s">
        <v>291</v>
      </c>
      <c r="C8" s="12"/>
      <c r="D8" s="12">
        <f>YEAR('Assumptions-Overall'!C9)</f>
        <v>2018</v>
      </c>
      <c r="E8" s="12">
        <f>D8+1</f>
        <v>2019</v>
      </c>
      <c r="F8" s="12">
        <f t="shared" si="0"/>
        <v>2020</v>
      </c>
      <c r="G8" s="12">
        <f t="shared" si="0"/>
        <v>2021</v>
      </c>
      <c r="H8" s="12">
        <f t="shared" si="0"/>
        <v>2022</v>
      </c>
      <c r="I8" s="12">
        <f t="shared" si="0"/>
        <v>2023</v>
      </c>
      <c r="J8" s="12">
        <f t="shared" si="0"/>
        <v>2024</v>
      </c>
      <c r="K8" s="12">
        <f t="shared" si="0"/>
        <v>2025</v>
      </c>
      <c r="L8" s="12">
        <f t="shared" si="0"/>
        <v>2026</v>
      </c>
      <c r="M8" s="13">
        <f t="shared" si="0"/>
        <v>2027</v>
      </c>
    </row>
    <row r="9" spans="2:20" ht="12.75" thickBot="1" x14ac:dyDescent="0.25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2:20" x14ac:dyDescent="0.2">
      <c r="B10" s="243" t="s">
        <v>292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O10" s="419" t="s">
        <v>538</v>
      </c>
      <c r="P10" s="420"/>
      <c r="Q10" s="420"/>
      <c r="R10" s="421"/>
    </row>
    <row r="11" spans="2:20" x14ac:dyDescent="0.2">
      <c r="B11" s="4"/>
      <c r="C11" s="12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O11" s="243" t="s">
        <v>498</v>
      </c>
      <c r="P11" s="12"/>
      <c r="Q11" s="291"/>
      <c r="R11" s="13"/>
    </row>
    <row r="12" spans="2:20" x14ac:dyDescent="0.2">
      <c r="B12" s="53" t="s">
        <v>401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O12" s="4"/>
      <c r="P12" s="244"/>
      <c r="Q12" s="12"/>
      <c r="R12" s="245"/>
    </row>
    <row r="13" spans="2:20" x14ac:dyDescent="0.2">
      <c r="B13" s="4" t="s">
        <v>402</v>
      </c>
      <c r="C13" s="12"/>
      <c r="D13" s="242">
        <f>'CashFlow-ResRental'!D46</f>
        <v>0</v>
      </c>
      <c r="E13" s="242">
        <f>'CashFlow-ResRental'!E46</f>
        <v>0</v>
      </c>
      <c r="F13" s="242">
        <f>'CashFlow-ResRental'!F46</f>
        <v>0</v>
      </c>
      <c r="G13" s="242">
        <f>'CashFlow-ResRental'!G46</f>
        <v>0</v>
      </c>
      <c r="H13" s="242">
        <f>'CashFlow-ResRental'!H46</f>
        <v>0</v>
      </c>
      <c r="I13" s="242">
        <f>'CashFlow-ResRental'!I46</f>
        <v>0</v>
      </c>
      <c r="J13" s="242">
        <f>'CashFlow-ResRental'!J46</f>
        <v>0</v>
      </c>
      <c r="K13" s="242">
        <f>'CashFlow-ResRental'!K46</f>
        <v>0</v>
      </c>
      <c r="L13" s="242">
        <f>'CashFlow-ResRental'!L46</f>
        <v>0</v>
      </c>
      <c r="M13" s="247">
        <f>'CashFlow-ResRental'!M46</f>
        <v>0</v>
      </c>
      <c r="O13" s="53" t="s">
        <v>489</v>
      </c>
      <c r="P13" s="191" t="s">
        <v>458</v>
      </c>
      <c r="Q13" s="292" t="s">
        <v>92</v>
      </c>
      <c r="R13" s="192" t="s">
        <v>494</v>
      </c>
    </row>
    <row r="14" spans="2:20" x14ac:dyDescent="0.2">
      <c r="B14" s="75" t="s">
        <v>70</v>
      </c>
      <c r="C14" s="12"/>
      <c r="D14" s="242">
        <f>'CashFlow-Retail'!D46</f>
        <v>0</v>
      </c>
      <c r="E14" s="242">
        <f>'CashFlow-Retail'!E46</f>
        <v>0</v>
      </c>
      <c r="F14" s="242">
        <f>'CashFlow-Retail'!F46</f>
        <v>0</v>
      </c>
      <c r="G14" s="242">
        <f>'CashFlow-Retail'!G46</f>
        <v>0</v>
      </c>
      <c r="H14" s="242">
        <f>'CashFlow-Retail'!H46</f>
        <v>1609602.4397372052</v>
      </c>
      <c r="I14" s="242">
        <f>'CashFlow-Retail'!I46</f>
        <v>2529643.6339421761</v>
      </c>
      <c r="J14" s="242">
        <f>'CashFlow-Retail'!J46</f>
        <v>2605532.9429604411</v>
      </c>
      <c r="K14" s="242">
        <f>'CashFlow-Retail'!K46</f>
        <v>2683698.9312492548</v>
      </c>
      <c r="L14" s="242">
        <f>'CashFlow-Retail'!L46</f>
        <v>2764209.8991867327</v>
      </c>
      <c r="M14" s="247">
        <f>'CashFlow-Retail'!M46</f>
        <v>2847136.1961623342</v>
      </c>
      <c r="O14" s="4" t="s">
        <v>93</v>
      </c>
      <c r="P14" s="297">
        <f ca="1">SUM(D49:M49)*Q14</f>
        <v>114039078.69474432</v>
      </c>
      <c r="Q14" s="293">
        <f>'Assumptions-Overall'!$P$11</f>
        <v>0.19999999999999996</v>
      </c>
      <c r="R14" s="259">
        <f ca="1">P14/$P$18</f>
        <v>0.18351361239172251</v>
      </c>
    </row>
    <row r="15" spans="2:20" x14ac:dyDescent="0.2">
      <c r="B15" s="75" t="s">
        <v>35</v>
      </c>
      <c r="C15" s="12"/>
      <c r="D15" s="242">
        <f>'CashFlow-Office'!D42</f>
        <v>0</v>
      </c>
      <c r="E15" s="242">
        <f>'CashFlow-Office'!E42</f>
        <v>0</v>
      </c>
      <c r="F15" s="242">
        <f>'CashFlow-Office'!F42</f>
        <v>0</v>
      </c>
      <c r="G15" s="242">
        <f>'CashFlow-Office'!G42</f>
        <v>0</v>
      </c>
      <c r="H15" s="242">
        <f>'CashFlow-Office'!H42</f>
        <v>16928634.51333876</v>
      </c>
      <c r="I15" s="242">
        <f>'CashFlow-Office'!I42</f>
        <v>29165351.825116258</v>
      </c>
      <c r="J15" s="242">
        <f>'CashFlow-Office'!J42</f>
        <v>30040312.379869752</v>
      </c>
      <c r="K15" s="242">
        <f>'CashFlow-Office'!K42</f>
        <v>30941521.75126585</v>
      </c>
      <c r="L15" s="242">
        <f>'CashFlow-Office'!L42</f>
        <v>31869767.40380381</v>
      </c>
      <c r="M15" s="247">
        <f>'CashFlow-Office'!M42</f>
        <v>32825860.425917938</v>
      </c>
      <c r="O15" s="75" t="s">
        <v>491</v>
      </c>
      <c r="P15" s="297">
        <f ca="1">SUM(D49:M49)*Q15</f>
        <v>114039078.69474435</v>
      </c>
      <c r="Q15" s="293">
        <f>'Assumptions-Overall'!$P$10</f>
        <v>0.2</v>
      </c>
      <c r="R15" s="259">
        <f ca="1">P15/$P$18</f>
        <v>0.18351361239172256</v>
      </c>
      <c r="T15" s="285"/>
    </row>
    <row r="16" spans="2:20" x14ac:dyDescent="0.2">
      <c r="B16" s="4" t="s">
        <v>73</v>
      </c>
      <c r="C16" s="12"/>
      <c r="D16" s="242">
        <f>'CashFlow-Hotel'!D58</f>
        <v>0</v>
      </c>
      <c r="E16" s="242">
        <f>'CashFlow-Hotel'!E58</f>
        <v>0</v>
      </c>
      <c r="F16" s="242">
        <f>'CashFlow-Hotel'!F58</f>
        <v>0</v>
      </c>
      <c r="G16" s="242">
        <f>'CashFlow-Hotel'!G58</f>
        <v>0</v>
      </c>
      <c r="H16" s="242">
        <f>'CashFlow-Hotel'!H58</f>
        <v>0</v>
      </c>
      <c r="I16" s="242">
        <f>'CashFlow-Hotel'!I58</f>
        <v>0</v>
      </c>
      <c r="J16" s="242">
        <f>'CashFlow-Hotel'!J58</f>
        <v>0</v>
      </c>
      <c r="K16" s="242">
        <f>'CashFlow-Hotel'!K58</f>
        <v>0</v>
      </c>
      <c r="L16" s="242">
        <f>'CashFlow-Hotel'!L58</f>
        <v>0</v>
      </c>
      <c r="M16" s="247">
        <f>'CashFlow-Hotel'!M58</f>
        <v>0</v>
      </c>
      <c r="O16" s="75" t="s">
        <v>492</v>
      </c>
      <c r="P16" s="297">
        <f ca="1">SUM(D49:M49)*Q16</f>
        <v>342117236.08423305</v>
      </c>
      <c r="Q16" s="293">
        <f>'Assumptions-Overall'!$P$9</f>
        <v>0.6</v>
      </c>
      <c r="R16" s="259">
        <f ca="1">P16/$P$18</f>
        <v>0.55054083717516766</v>
      </c>
    </row>
    <row r="17" spans="2:18" x14ac:dyDescent="0.2">
      <c r="B17" s="75" t="s">
        <v>403</v>
      </c>
      <c r="C17" s="12"/>
      <c r="D17" s="240">
        <f>'CashFlow-Parking'!D18</f>
        <v>0</v>
      </c>
      <c r="E17" s="240">
        <f>'CashFlow-Parking'!E18</f>
        <v>0</v>
      </c>
      <c r="F17" s="240">
        <f>'CashFlow-Parking'!F18</f>
        <v>0</v>
      </c>
      <c r="G17" s="240">
        <f>'CashFlow-Parking'!G18</f>
        <v>0</v>
      </c>
      <c r="H17" s="240">
        <f>'CashFlow-Parking'!H18</f>
        <v>18808.917480750002</v>
      </c>
      <c r="I17" s="240">
        <f>'CashFlow-Parking'!I18</f>
        <v>18997.006655557499</v>
      </c>
      <c r="J17" s="240">
        <f>'CashFlow-Parking'!J18</f>
        <v>19186.976722113079</v>
      </c>
      <c r="K17" s="240">
        <f>'CashFlow-Parking'!K18</f>
        <v>19378.846489334202</v>
      </c>
      <c r="L17" s="240">
        <f>'CashFlow-Parking'!L18</f>
        <v>19572.634954227549</v>
      </c>
      <c r="M17" s="248">
        <f>'CashFlow-Parking'!M18</f>
        <v>19768.361303769827</v>
      </c>
      <c r="O17" s="75" t="s">
        <v>504</v>
      </c>
      <c r="P17" s="240">
        <f>SUMIF(D$8:M$8,"&lt;"&amp;YEAR(PhaseIComplete),D36:M37)</f>
        <v>51224877.254315585</v>
      </c>
      <c r="Q17" s="293" t="s">
        <v>11</v>
      </c>
      <c r="R17" s="294">
        <f ca="1">P17/$P$18</f>
        <v>8.2431938041387112E-2</v>
      </c>
    </row>
    <row r="18" spans="2:18" x14ac:dyDescent="0.2">
      <c r="B18" s="4" t="s">
        <v>404</v>
      </c>
      <c r="C18" s="12"/>
      <c r="D18" s="242">
        <f>SUM(D13:D17)</f>
        <v>0</v>
      </c>
      <c r="E18" s="242">
        <f t="shared" ref="E18:M18" si="1">SUM(E13:E17)</f>
        <v>0</v>
      </c>
      <c r="F18" s="242">
        <f t="shared" si="1"/>
        <v>0</v>
      </c>
      <c r="G18" s="242">
        <f t="shared" si="1"/>
        <v>0</v>
      </c>
      <c r="H18" s="242">
        <f t="shared" si="1"/>
        <v>18557045.870556712</v>
      </c>
      <c r="I18" s="242">
        <f t="shared" si="1"/>
        <v>31713992.465713993</v>
      </c>
      <c r="J18" s="242">
        <f t="shared" si="1"/>
        <v>32665032.299552307</v>
      </c>
      <c r="K18" s="242">
        <f t="shared" si="1"/>
        <v>33644599.52900444</v>
      </c>
      <c r="L18" s="242">
        <f t="shared" si="1"/>
        <v>34653549.93794477</v>
      </c>
      <c r="M18" s="247">
        <f t="shared" si="1"/>
        <v>35692764.983384043</v>
      </c>
      <c r="O18" s="4" t="s">
        <v>493</v>
      </c>
      <c r="P18" s="242">
        <f ca="1">SUM(P14:P17)</f>
        <v>621420270.72803736</v>
      </c>
      <c r="Q18" s="12"/>
      <c r="R18" s="259">
        <f ca="1">P18/$P$18</f>
        <v>1</v>
      </c>
    </row>
    <row r="19" spans="2:18" x14ac:dyDescent="0.2">
      <c r="B19" s="4"/>
      <c r="C19" s="12"/>
      <c r="D19" s="242"/>
      <c r="E19" s="242"/>
      <c r="F19" s="242"/>
      <c r="G19" s="242"/>
      <c r="H19" s="242"/>
      <c r="I19" s="242"/>
      <c r="J19" s="242"/>
      <c r="K19" s="242"/>
      <c r="L19" s="242"/>
      <c r="M19" s="247"/>
      <c r="O19" s="4"/>
      <c r="P19" s="242"/>
      <c r="Q19" s="12"/>
      <c r="R19" s="247"/>
    </row>
    <row r="20" spans="2:18" x14ac:dyDescent="0.2">
      <c r="B20" s="4" t="s">
        <v>409</v>
      </c>
      <c r="C20" s="12"/>
      <c r="D20" s="242">
        <f t="shared" ref="D20:M20" si="2">-(D$8=YEAR(PhaseIConBegin))*LandPhaseI</f>
        <v>0</v>
      </c>
      <c r="E20" s="242">
        <f t="shared" si="2"/>
        <v>0</v>
      </c>
      <c r="F20" s="242">
        <f t="shared" si="2"/>
        <v>-12040000</v>
      </c>
      <c r="G20" s="242">
        <f t="shared" si="2"/>
        <v>0</v>
      </c>
      <c r="H20" s="242">
        <f t="shared" si="2"/>
        <v>0</v>
      </c>
      <c r="I20" s="242">
        <f t="shared" si="2"/>
        <v>0</v>
      </c>
      <c r="J20" s="242">
        <f t="shared" si="2"/>
        <v>0</v>
      </c>
      <c r="K20" s="242">
        <f t="shared" si="2"/>
        <v>0</v>
      </c>
      <c r="L20" s="242">
        <f t="shared" si="2"/>
        <v>0</v>
      </c>
      <c r="M20" s="247">
        <f t="shared" si="2"/>
        <v>0</v>
      </c>
      <c r="O20" s="53" t="s">
        <v>490</v>
      </c>
      <c r="P20" s="191" t="s">
        <v>458</v>
      </c>
      <c r="Q20" s="292"/>
      <c r="R20" s="192" t="s">
        <v>494</v>
      </c>
    </row>
    <row r="21" spans="2:18" x14ac:dyDescent="0.2">
      <c r="B21" s="4"/>
      <c r="C21" s="12"/>
      <c r="D21" s="242"/>
      <c r="E21" s="242"/>
      <c r="F21" s="242"/>
      <c r="G21" s="242"/>
      <c r="H21" s="242"/>
      <c r="I21" s="242"/>
      <c r="J21" s="242"/>
      <c r="K21" s="242"/>
      <c r="L21" s="242"/>
      <c r="M21" s="247"/>
      <c r="O21" s="4" t="s">
        <v>409</v>
      </c>
      <c r="P21" s="242">
        <f>-SUM(D20:M20)</f>
        <v>12040000</v>
      </c>
      <c r="Q21" s="12"/>
      <c r="R21" s="259">
        <f t="shared" ref="R21:R30" ca="1" si="3">P21/$P$30</f>
        <v>1.937497144387372E-2</v>
      </c>
    </row>
    <row r="22" spans="2:18" x14ac:dyDescent="0.2">
      <c r="B22" s="53" t="s">
        <v>209</v>
      </c>
      <c r="C22" s="12"/>
      <c r="D22" s="242"/>
      <c r="E22" s="242"/>
      <c r="F22" s="242"/>
      <c r="G22" s="242"/>
      <c r="H22" s="242"/>
      <c r="I22" s="242"/>
      <c r="J22" s="242"/>
      <c r="K22" s="242"/>
      <c r="L22" s="242"/>
      <c r="M22" s="247"/>
      <c r="O22" s="4" t="str">
        <f t="shared" ref="O22:O28" si="4">B23&amp;" Construction Costs"</f>
        <v>Residential Apartments Construction Costs</v>
      </c>
      <c r="P22" s="242">
        <f t="shared" ref="P22:P28" si="5">-SUM(D23:M23)</f>
        <v>0</v>
      </c>
      <c r="Q22" s="12"/>
      <c r="R22" s="259">
        <f t="shared" ca="1" si="3"/>
        <v>0</v>
      </c>
    </row>
    <row r="23" spans="2:18" x14ac:dyDescent="0.2">
      <c r="B23" s="4" t="s">
        <v>402</v>
      </c>
      <c r="C23" s="12"/>
      <c r="D23" s="242">
        <f>'CashFlow-ResRental'!D53</f>
        <v>0</v>
      </c>
      <c r="E23" s="242">
        <f>'CashFlow-ResRental'!E53</f>
        <v>0</v>
      </c>
      <c r="F23" s="242">
        <f>'CashFlow-ResRental'!F53</f>
        <v>0</v>
      </c>
      <c r="G23" s="242">
        <f>'CashFlow-ResRental'!G53</f>
        <v>0</v>
      </c>
      <c r="H23" s="242">
        <f>'CashFlow-ResRental'!H53</f>
        <v>0</v>
      </c>
      <c r="I23" s="242">
        <f>'CashFlow-ResRental'!I53</f>
        <v>0</v>
      </c>
      <c r="J23" s="242">
        <f>'CashFlow-ResRental'!J53</f>
        <v>0</v>
      </c>
      <c r="K23" s="242">
        <f>'CashFlow-ResRental'!K53</f>
        <v>0</v>
      </c>
      <c r="L23" s="242">
        <f>'CashFlow-ResRental'!L53</f>
        <v>0</v>
      </c>
      <c r="M23" s="247">
        <f>'CashFlow-ResRental'!M53</f>
        <v>0</v>
      </c>
      <c r="O23" s="4" t="str">
        <f t="shared" si="4"/>
        <v>Residential Condos Construction Costs</v>
      </c>
      <c r="P23" s="242">
        <f t="shared" si="5"/>
        <v>200799277.94627458</v>
      </c>
      <c r="Q23" s="12"/>
      <c r="R23" s="259">
        <f t="shared" ca="1" si="3"/>
        <v>0.32312959104315048</v>
      </c>
    </row>
    <row r="24" spans="2:18" x14ac:dyDescent="0.2">
      <c r="B24" s="4" t="s">
        <v>405</v>
      </c>
      <c r="C24" s="12"/>
      <c r="D24" s="242">
        <f>'CashFlow-ResCondo'!D31</f>
        <v>-8712365.3654375318</v>
      </c>
      <c r="E24" s="242">
        <f>'CashFlow-ResCondo'!E31</f>
        <v>-8712365.3654375318</v>
      </c>
      <c r="F24" s="242">
        <f>'CashFlow-ResCondo'!F31</f>
        <v>-90461043.436631829</v>
      </c>
      <c r="G24" s="242">
        <f>'CashFlow-ResCondo'!G31</f>
        <v>-92913503.778767675</v>
      </c>
      <c r="H24" s="242">
        <f>'CashFlow-ResCondo'!H31</f>
        <v>0</v>
      </c>
      <c r="I24" s="242">
        <f>'CashFlow-ResCondo'!I31</f>
        <v>0</v>
      </c>
      <c r="J24" s="242">
        <f>'CashFlow-ResCondo'!J31</f>
        <v>0</v>
      </c>
      <c r="K24" s="242">
        <f>'CashFlow-ResCondo'!K31</f>
        <v>0</v>
      </c>
      <c r="L24" s="242">
        <f>'CashFlow-ResCondo'!L31</f>
        <v>0</v>
      </c>
      <c r="M24" s="247">
        <f>'CashFlow-ResCondo'!M31</f>
        <v>0</v>
      </c>
      <c r="O24" s="4" t="str">
        <f t="shared" si="4"/>
        <v>Retail Construction Costs</v>
      </c>
      <c r="P24" s="242">
        <f t="shared" si="5"/>
        <v>11455268.741027188</v>
      </c>
      <c r="Q24" s="12"/>
      <c r="R24" s="259">
        <f t="shared" ca="1" si="3"/>
        <v>1.843401202153663E-2</v>
      </c>
    </row>
    <row r="25" spans="2:18" x14ac:dyDescent="0.2">
      <c r="B25" s="4" t="s">
        <v>70</v>
      </c>
      <c r="C25" s="12"/>
      <c r="D25" s="242">
        <f>'CashFlow-Retail'!D53</f>
        <v>-497026.12306109699</v>
      </c>
      <c r="E25" s="242">
        <f>'CashFlow-Retail'!E53</f>
        <v>-497026.12306109699</v>
      </c>
      <c r="F25" s="242">
        <f>'CashFlow-Retail'!F53</f>
        <v>-5160653.8318210971</v>
      </c>
      <c r="G25" s="242">
        <f>'CashFlow-Retail'!G53</f>
        <v>-5300562.663083897</v>
      </c>
      <c r="H25" s="242">
        <f>'CashFlow-Retail'!H53</f>
        <v>0</v>
      </c>
      <c r="I25" s="242">
        <f>'CashFlow-Retail'!I53</f>
        <v>0</v>
      </c>
      <c r="J25" s="242">
        <f>'CashFlow-Retail'!J53</f>
        <v>0</v>
      </c>
      <c r="K25" s="242">
        <f>'CashFlow-Retail'!K53</f>
        <v>0</v>
      </c>
      <c r="L25" s="242">
        <f>'CashFlow-Retail'!L53</f>
        <v>0</v>
      </c>
      <c r="M25" s="247">
        <f>'CashFlow-Retail'!M53</f>
        <v>0</v>
      </c>
      <c r="O25" s="4" t="str">
        <f t="shared" si="4"/>
        <v>Office Construction Costs</v>
      </c>
      <c r="P25" s="242">
        <f t="shared" si="5"/>
        <v>342938195.9092828</v>
      </c>
      <c r="Q25" s="12"/>
      <c r="R25" s="259">
        <f t="shared" ca="1" si="3"/>
        <v>0.55186193959766827</v>
      </c>
    </row>
    <row r="26" spans="2:18" x14ac:dyDescent="0.2">
      <c r="B26" s="4" t="s">
        <v>35</v>
      </c>
      <c r="C26" s="12"/>
      <c r="D26" s="242">
        <f>'CashFlow-Office'!D49</f>
        <v>-14879549.822510203</v>
      </c>
      <c r="E26" s="242">
        <f>'CashFlow-Office'!E49</f>
        <v>-14879549.822510203</v>
      </c>
      <c r="F26" s="242">
        <f>'CashFlow-Office'!F49</f>
        <v>-154495311.7039102</v>
      </c>
      <c r="G26" s="242">
        <f>'CashFlow-Office'!G49</f>
        <v>-158683784.56035221</v>
      </c>
      <c r="H26" s="242">
        <f>'CashFlow-Office'!H49</f>
        <v>0</v>
      </c>
      <c r="I26" s="242">
        <f>'CashFlow-Office'!I49</f>
        <v>0</v>
      </c>
      <c r="J26" s="242">
        <f>'CashFlow-Office'!J49</f>
        <v>0</v>
      </c>
      <c r="K26" s="242">
        <f>'CashFlow-Office'!K49</f>
        <v>0</v>
      </c>
      <c r="L26" s="242">
        <f>'CashFlow-Office'!L49</f>
        <v>0</v>
      </c>
      <c r="M26" s="247">
        <f>'CashFlow-Office'!M49</f>
        <v>0</v>
      </c>
      <c r="O26" s="4" t="str">
        <f t="shared" si="4"/>
        <v>Hotel Construction Costs</v>
      </c>
      <c r="P26" s="242">
        <f t="shared" si="5"/>
        <v>0</v>
      </c>
      <c r="Q26" s="12"/>
      <c r="R26" s="259">
        <f t="shared" ca="1" si="3"/>
        <v>0</v>
      </c>
    </row>
    <row r="27" spans="2:18" x14ac:dyDescent="0.2">
      <c r="B27" s="4" t="s">
        <v>73</v>
      </c>
      <c r="C27" s="12"/>
      <c r="D27" s="242">
        <f>'CashFlow-Hotel'!D65</f>
        <v>0</v>
      </c>
      <c r="E27" s="242">
        <f>'CashFlow-Hotel'!E65</f>
        <v>0</v>
      </c>
      <c r="F27" s="242">
        <f>'CashFlow-Hotel'!F65</f>
        <v>0</v>
      </c>
      <c r="G27" s="242">
        <f>'CashFlow-Hotel'!G65</f>
        <v>0</v>
      </c>
      <c r="H27" s="242">
        <f>'CashFlow-Hotel'!H65</f>
        <v>0</v>
      </c>
      <c r="I27" s="242">
        <f>'CashFlow-Hotel'!I65</f>
        <v>0</v>
      </c>
      <c r="J27" s="242">
        <f>'CashFlow-Hotel'!J65</f>
        <v>0</v>
      </c>
      <c r="K27" s="242">
        <f>'CashFlow-Hotel'!K65</f>
        <v>0</v>
      </c>
      <c r="L27" s="242">
        <f>'CashFlow-Hotel'!L65</f>
        <v>0</v>
      </c>
      <c r="M27" s="247">
        <f>'CashFlow-Hotel'!M65</f>
        <v>0</v>
      </c>
      <c r="O27" s="4" t="str">
        <f t="shared" si="4"/>
        <v>Parking Construction Costs</v>
      </c>
      <c r="P27" s="242">
        <f t="shared" si="5"/>
        <v>16068828.114976175</v>
      </c>
      <c r="Q27" s="12"/>
      <c r="R27" s="259">
        <f t="shared" ca="1" si="3"/>
        <v>2.5858229722938421E-2</v>
      </c>
    </row>
    <row r="28" spans="2:18" x14ac:dyDescent="0.2">
      <c r="B28" s="4" t="s">
        <v>403</v>
      </c>
      <c r="C28" s="12"/>
      <c r="D28" s="242">
        <f>'CashFlow-Parking'!D25</f>
        <v>-697201.21986466867</v>
      </c>
      <c r="E28" s="242">
        <f>'CashFlow-Parking'!E25</f>
        <v>-697201.21986466867</v>
      </c>
      <c r="F28" s="242">
        <f>'CashFlow-Parking'!F25</f>
        <v>-7239084.5871146685</v>
      </c>
      <c r="G28" s="242">
        <f>'CashFlow-Parking'!G25</f>
        <v>-7435341.0881321682</v>
      </c>
      <c r="H28" s="242">
        <f>'CashFlow-Parking'!H25</f>
        <v>0</v>
      </c>
      <c r="I28" s="242">
        <f>'CashFlow-Parking'!I25</f>
        <v>0</v>
      </c>
      <c r="J28" s="242">
        <f>'CashFlow-Parking'!J25</f>
        <v>0</v>
      </c>
      <c r="K28" s="242">
        <f>'CashFlow-Parking'!K25</f>
        <v>0</v>
      </c>
      <c r="L28" s="242">
        <f>'CashFlow-Parking'!L25</f>
        <v>0</v>
      </c>
      <c r="M28" s="247">
        <f>'CashFlow-Parking'!M25</f>
        <v>0</v>
      </c>
      <c r="O28" s="4" t="str">
        <f t="shared" si="4"/>
        <v>Infrastructure Construction Costs</v>
      </c>
      <c r="P28" s="242">
        <f t="shared" si="5"/>
        <v>33557136.86868687</v>
      </c>
      <c r="Q28" s="12"/>
      <c r="R28" s="259">
        <f t="shared" ca="1" si="3"/>
        <v>5.4000711675163626E-2</v>
      </c>
    </row>
    <row r="29" spans="2:18" x14ac:dyDescent="0.2">
      <c r="B29" s="75" t="s">
        <v>406</v>
      </c>
      <c r="C29" s="12"/>
      <c r="D29" s="240">
        <f>-(AND(D$8&gt;=YEAR(PhaseIConBegin),D$8&lt;=YEAR(PhaseIConEnd)))*'Assumptions-Land&amp;Infrastructure'!$M$24/(YEAR(PhaseIConEnd)-YEAR(PhaseIConBegin)+1)</f>
        <v>0</v>
      </c>
      <c r="E29" s="240">
        <f>-(AND(E$8&gt;=YEAR(PhaseIConBegin),E$8&lt;=YEAR(PhaseIConEnd)))*'Assumptions-Land&amp;Infrastructure'!$M$24/(YEAR(PhaseIConEnd)-YEAR(PhaseIConBegin)+1)</f>
        <v>0</v>
      </c>
      <c r="F29" s="240">
        <f>-(AND(F$8&gt;=YEAR(PhaseIConBegin),F$8&lt;=YEAR(PhaseIConEnd)))*'Assumptions-Land&amp;Infrastructure'!$M$24/(YEAR(PhaseIConEnd)-YEAR(PhaseIConBegin)+1)</f>
        <v>-16778568.434343435</v>
      </c>
      <c r="G29" s="240">
        <f>-(AND(G$8&gt;=YEAR(PhaseIConBegin),G$8&lt;=YEAR(PhaseIConEnd)))*'Assumptions-Land&amp;Infrastructure'!$M$24/(YEAR(PhaseIConEnd)-YEAR(PhaseIConBegin)+1)</f>
        <v>-16778568.434343435</v>
      </c>
      <c r="H29" s="240">
        <f>-(AND(H$8&gt;=YEAR(PhaseIConBegin),H$8&lt;=YEAR(PhaseIConEnd)))*'Assumptions-Land&amp;Infrastructure'!$M$24/(YEAR(PhaseIConEnd)-YEAR(PhaseIConBegin)+1)</f>
        <v>0</v>
      </c>
      <c r="I29" s="240">
        <f>-(AND(I$8&gt;=YEAR(PhaseIConBegin),I$8&lt;=YEAR(PhaseIConEnd)))*'Assumptions-Land&amp;Infrastructure'!$M$24/(YEAR(PhaseIConEnd)-YEAR(PhaseIConBegin)+1)</f>
        <v>0</v>
      </c>
      <c r="J29" s="240">
        <f>-(AND(J$8&gt;=YEAR(PhaseIConBegin),J$8&lt;=YEAR(PhaseIConEnd)))*'Assumptions-Land&amp;Infrastructure'!$M$24/(YEAR(PhaseIConEnd)-YEAR(PhaseIConBegin)+1)</f>
        <v>0</v>
      </c>
      <c r="K29" s="240">
        <f>-(AND(K$8&gt;=YEAR(PhaseIConBegin),K$8&lt;=YEAR(PhaseIConEnd)))*'Assumptions-Land&amp;Infrastructure'!$M$24/(YEAR(PhaseIConEnd)-YEAR(PhaseIConBegin)+1)</f>
        <v>0</v>
      </c>
      <c r="L29" s="240">
        <f>-(AND(L$8&gt;=YEAR(PhaseIConBegin),L$8&lt;=YEAR(PhaseIConEnd)))*'Assumptions-Land&amp;Infrastructure'!$M$24/(YEAR(PhaseIConEnd)-YEAR(PhaseIConBegin)+1)</f>
        <v>0</v>
      </c>
      <c r="M29" s="248">
        <f>-(AND(M$8&gt;=YEAR(PhaseIConBegin),M$8&lt;=YEAR(PhaseIConEnd)))*'Assumptions-Land&amp;Infrastructure'!$M$24/(YEAR(PhaseIConEnd)-YEAR(PhaseIConBegin)+1)</f>
        <v>0</v>
      </c>
      <c r="O29" s="4" t="s">
        <v>495</v>
      </c>
      <c r="P29" s="240">
        <f ca="1">P15*'Assumptions-Overall'!$P$24+'Assumptions-Overall'!$P$23*'CashFlow-Combined'!P16</f>
        <v>4561563.1477897745</v>
      </c>
      <c r="Q29" s="12"/>
      <c r="R29" s="294">
        <f t="shared" ca="1" si="3"/>
        <v>7.3405444956689036E-3</v>
      </c>
    </row>
    <row r="30" spans="2:18" ht="12.75" thickBot="1" x14ac:dyDescent="0.25">
      <c r="B30" s="4" t="s">
        <v>313</v>
      </c>
      <c r="C30" s="12"/>
      <c r="D30" s="242">
        <f>SUM(D23:D29)</f>
        <v>-24786142.530873504</v>
      </c>
      <c r="E30" s="242">
        <f t="shared" ref="E30:M30" si="6">SUM(E23:E29)</f>
        <v>-24786142.530873504</v>
      </c>
      <c r="F30" s="242">
        <f t="shared" si="6"/>
        <v>-274134661.9938212</v>
      </c>
      <c r="G30" s="242">
        <f t="shared" si="6"/>
        <v>-281111760.52467936</v>
      </c>
      <c r="H30" s="242">
        <f t="shared" si="6"/>
        <v>0</v>
      </c>
      <c r="I30" s="242">
        <f t="shared" si="6"/>
        <v>0</v>
      </c>
      <c r="J30" s="242">
        <f t="shared" si="6"/>
        <v>0</v>
      </c>
      <c r="K30" s="242">
        <f t="shared" si="6"/>
        <v>0</v>
      </c>
      <c r="L30" s="242">
        <f t="shared" si="6"/>
        <v>0</v>
      </c>
      <c r="M30" s="247">
        <f t="shared" si="6"/>
        <v>0</v>
      </c>
      <c r="O30" s="6" t="s">
        <v>496</v>
      </c>
      <c r="P30" s="295">
        <f ca="1">SUM(P21:P29)</f>
        <v>621420270.72803736</v>
      </c>
      <c r="Q30" s="15"/>
      <c r="R30" s="296">
        <f t="shared" ca="1" si="3"/>
        <v>1</v>
      </c>
    </row>
    <row r="31" spans="2:18" x14ac:dyDescent="0.2">
      <c r="B31" s="4"/>
      <c r="C31" s="12"/>
      <c r="D31" s="242"/>
      <c r="E31" s="242"/>
      <c r="F31" s="242"/>
      <c r="G31" s="242"/>
      <c r="H31" s="211"/>
      <c r="I31" s="242"/>
      <c r="J31" s="242"/>
      <c r="K31" s="242"/>
      <c r="L31" s="242"/>
      <c r="M31" s="247"/>
      <c r="O31" s="243" t="s">
        <v>497</v>
      </c>
      <c r="P31" s="12"/>
      <c r="Q31" s="12"/>
      <c r="R31" s="13"/>
    </row>
    <row r="32" spans="2:18" x14ac:dyDescent="0.2">
      <c r="B32" s="4" t="s">
        <v>319</v>
      </c>
      <c r="C32" s="12"/>
      <c r="D32" s="242">
        <f>'CashFlow-ResRental'!D55</f>
        <v>0</v>
      </c>
      <c r="E32" s="242">
        <f>'CashFlow-ResRental'!E55</f>
        <v>0</v>
      </c>
      <c r="F32" s="242">
        <f>'CashFlow-ResRental'!F55</f>
        <v>0</v>
      </c>
      <c r="G32" s="242">
        <f>'CashFlow-ResRental'!G55</f>
        <v>0</v>
      </c>
      <c r="H32" s="242">
        <f>'CashFlow-ResRental'!H55</f>
        <v>0</v>
      </c>
      <c r="I32" s="242">
        <f>'CashFlow-ResRental'!I55</f>
        <v>0</v>
      </c>
      <c r="J32" s="242">
        <f>'CashFlow-ResRental'!J55</f>
        <v>0</v>
      </c>
      <c r="K32" s="242">
        <f>'CashFlow-ResRental'!K55</f>
        <v>0</v>
      </c>
      <c r="L32" s="242">
        <f>'CashFlow-ResRental'!L55</f>
        <v>0</v>
      </c>
      <c r="M32" s="247">
        <f>'CashFlow-ResRental'!M55</f>
        <v>0</v>
      </c>
      <c r="O32" s="4"/>
      <c r="P32" s="301" t="s">
        <v>512</v>
      </c>
      <c r="Q32" s="189"/>
      <c r="R32" s="302" t="s">
        <v>514</v>
      </c>
    </row>
    <row r="33" spans="2:18" x14ac:dyDescent="0.2">
      <c r="B33" s="4"/>
      <c r="C33" s="12"/>
      <c r="D33" s="242"/>
      <c r="E33" s="242"/>
      <c r="F33" s="242"/>
      <c r="G33" s="242"/>
      <c r="H33" s="211"/>
      <c r="I33" s="242"/>
      <c r="J33" s="242"/>
      <c r="K33" s="242"/>
      <c r="L33" s="242"/>
      <c r="M33" s="247"/>
      <c r="O33" s="53" t="s">
        <v>186</v>
      </c>
      <c r="P33" s="191" t="s">
        <v>513</v>
      </c>
      <c r="Q33" s="191" t="s">
        <v>510</v>
      </c>
      <c r="R33" s="192" t="s">
        <v>511</v>
      </c>
    </row>
    <row r="34" spans="2:18" x14ac:dyDescent="0.2">
      <c r="B34" s="53" t="s">
        <v>480</v>
      </c>
      <c r="C34" s="12"/>
      <c r="D34" s="242"/>
      <c r="E34" s="242"/>
      <c r="F34" s="242"/>
      <c r="G34" s="242"/>
      <c r="H34" s="242"/>
      <c r="I34" s="242"/>
      <c r="J34" s="242"/>
      <c r="K34" s="242"/>
      <c r="L34" s="242"/>
      <c r="M34" s="247"/>
      <c r="O34" s="4" t="str">
        <f t="shared" ref="O34:O39" si="7">B13</f>
        <v>Residential Apartments</v>
      </c>
      <c r="P34" s="242">
        <f>SUMIF(D$8:M$8,YEAR(PhaseIRefi),D13:M13)</f>
        <v>0</v>
      </c>
      <c r="Q34" s="300">
        <f>'Assumptions-Overall'!$Y$9</f>
        <v>3.7500000000000006E-2</v>
      </c>
      <c r="R34" s="303">
        <f>P34/Q34</f>
        <v>0</v>
      </c>
    </row>
    <row r="35" spans="2:18" x14ac:dyDescent="0.2">
      <c r="B35" s="4" t="s">
        <v>402</v>
      </c>
      <c r="C35" s="12"/>
      <c r="D35" s="242">
        <f>'CashFlow-ResRental'!D60</f>
        <v>0</v>
      </c>
      <c r="E35" s="242">
        <f>'CashFlow-ResRental'!E60</f>
        <v>0</v>
      </c>
      <c r="F35" s="242">
        <f>'CashFlow-ResRental'!F60</f>
        <v>0</v>
      </c>
      <c r="G35" s="242">
        <f>'CashFlow-ResRental'!G60</f>
        <v>0</v>
      </c>
      <c r="H35" s="242">
        <f>'CashFlow-ResRental'!H60</f>
        <v>0</v>
      </c>
      <c r="I35" s="242">
        <f>'CashFlow-ResRental'!I60</f>
        <v>0</v>
      </c>
      <c r="J35" s="242">
        <f>'CashFlow-ResRental'!J60</f>
        <v>0</v>
      </c>
      <c r="K35" s="242">
        <f>'CashFlow-ResRental'!K60</f>
        <v>0</v>
      </c>
      <c r="L35" s="242">
        <f>'CashFlow-ResRental'!L60</f>
        <v>0</v>
      </c>
      <c r="M35" s="247">
        <f>'CashFlow-ResRental'!M60</f>
        <v>0</v>
      </c>
      <c r="O35" s="4" t="str">
        <f t="shared" si="7"/>
        <v>Retail</v>
      </c>
      <c r="P35" s="242">
        <f>SUMIF(D$8:M$8,YEAR(PhaseIRefi),D14:M14)</f>
        <v>2529643.6339421761</v>
      </c>
      <c r="Q35" s="300">
        <f>'Assumptions-Overall'!$Y$13</f>
        <v>4.5000000000000005E-2</v>
      </c>
      <c r="R35" s="303">
        <f t="shared" ref="R35:R38" si="8">P35/Q35</f>
        <v>56214302.9764928</v>
      </c>
    </row>
    <row r="36" spans="2:18" x14ac:dyDescent="0.2">
      <c r="B36" s="4" t="s">
        <v>405</v>
      </c>
      <c r="C36" s="12"/>
      <c r="D36" s="242">
        <f>'CashFlow-ResCondo'!D38</f>
        <v>18641628.468021024</v>
      </c>
      <c r="E36" s="242">
        <f>'CashFlow-ResCondo'!E38</f>
        <v>19200877.322061654</v>
      </c>
      <c r="F36" s="242">
        <f>'CashFlow-ResCondo'!F38</f>
        <v>6592301.2139078341</v>
      </c>
      <c r="G36" s="242">
        <f>'CashFlow-ResCondo'!G38</f>
        <v>6790070.2503250688</v>
      </c>
      <c r="H36" s="242">
        <f>'CashFlow-ResCondo'!H38</f>
        <v>204899509.01726234</v>
      </c>
      <c r="I36" s="242">
        <f>'CashFlow-ResCondo'!I38</f>
        <v>0</v>
      </c>
      <c r="J36" s="242">
        <f>'CashFlow-ResCondo'!J38</f>
        <v>0</v>
      </c>
      <c r="K36" s="242">
        <f>'CashFlow-ResCondo'!K38</f>
        <v>0</v>
      </c>
      <c r="L36" s="242">
        <f>'CashFlow-ResCondo'!L38</f>
        <v>0</v>
      </c>
      <c r="M36" s="247">
        <f>'CashFlow-ResCondo'!M38</f>
        <v>0</v>
      </c>
      <c r="O36" s="4" t="str">
        <f t="shared" si="7"/>
        <v>Office</v>
      </c>
      <c r="P36" s="242">
        <f>SUMIF(D$8:M$8,YEAR(PhaseIRefi),D15:M15)</f>
        <v>29165351.825116258</v>
      </c>
      <c r="Q36" s="300">
        <f>'Assumptions-Overall'!$Y$18</f>
        <v>4.5000000000000005E-2</v>
      </c>
      <c r="R36" s="303">
        <f t="shared" si="8"/>
        <v>648118929.44702792</v>
      </c>
    </row>
    <row r="37" spans="2:18" x14ac:dyDescent="0.2">
      <c r="B37" s="4" t="s">
        <v>488</v>
      </c>
      <c r="C37" s="12"/>
      <c r="D37" s="242">
        <f>'CashFlow-Parking'!D30</f>
        <v>0</v>
      </c>
      <c r="E37" s="242">
        <f>'CashFlow-Parking'!E30</f>
        <v>0</v>
      </c>
      <c r="F37" s="242">
        <f>'CashFlow-Parking'!F30</f>
        <v>0</v>
      </c>
      <c r="G37" s="242">
        <f>'CashFlow-Parking'!G30</f>
        <v>0</v>
      </c>
      <c r="H37" s="242">
        <f>'CashFlow-Parking'!H30</f>
        <v>7691520.479514</v>
      </c>
      <c r="I37" s="242">
        <f>'CashFlow-Parking'!I30</f>
        <v>0</v>
      </c>
      <c r="J37" s="242">
        <f>'CashFlow-Parking'!J30</f>
        <v>0</v>
      </c>
      <c r="K37" s="242">
        <f>'CashFlow-Parking'!K30</f>
        <v>0</v>
      </c>
      <c r="L37" s="242">
        <f>'CashFlow-Parking'!L30</f>
        <v>0</v>
      </c>
      <c r="M37" s="247">
        <f>'CashFlow-Parking'!M30</f>
        <v>0</v>
      </c>
      <c r="O37" s="4" t="str">
        <f t="shared" si="7"/>
        <v>Hotel</v>
      </c>
      <c r="P37" s="242">
        <f>SUMIF(D$8:M$8,YEAR(PhaseIRefi),D16:M16)</f>
        <v>0</v>
      </c>
      <c r="Q37" s="300">
        <f>'Assumptions-Overall'!$Y$22</f>
        <v>6.25E-2</v>
      </c>
      <c r="R37" s="303">
        <f t="shared" si="8"/>
        <v>0</v>
      </c>
    </row>
    <row r="38" spans="2:18" x14ac:dyDescent="0.2">
      <c r="B38" s="4" t="s">
        <v>70</v>
      </c>
      <c r="C38" s="12"/>
      <c r="D38" s="242">
        <f>'CashFlow-Retail'!D58</f>
        <v>0</v>
      </c>
      <c r="E38" s="242">
        <f>'CashFlow-Retail'!E58</f>
        <v>0</v>
      </c>
      <c r="F38" s="242">
        <f>'CashFlow-Retail'!F58</f>
        <v>0</v>
      </c>
      <c r="G38" s="242">
        <f>'CashFlow-Retail'!G58</f>
        <v>0</v>
      </c>
      <c r="H38" s="242">
        <f>'CashFlow-Retail'!H58</f>
        <v>0</v>
      </c>
      <c r="I38" s="242">
        <f>'CashFlow-Retail'!I58</f>
        <v>0</v>
      </c>
      <c r="J38" s="242">
        <f>'CashFlow-Retail'!J58</f>
        <v>0</v>
      </c>
      <c r="K38" s="242">
        <f>'CashFlow-Retail'!K58</f>
        <v>0</v>
      </c>
      <c r="L38" s="242">
        <f>'CashFlow-Retail'!L58</f>
        <v>0</v>
      </c>
      <c r="M38" s="247">
        <f>'CashFlow-Retail'!M58</f>
        <v>64735558.073587455</v>
      </c>
      <c r="O38" s="4" t="str">
        <f t="shared" si="7"/>
        <v>Parking</v>
      </c>
      <c r="P38" s="240">
        <f>SUMIF(D$8:M$8,YEAR(PhaseIRefi),D17:M17)</f>
        <v>18997.006655557499</v>
      </c>
      <c r="Q38" s="300">
        <v>0.05</v>
      </c>
      <c r="R38" s="304">
        <f t="shared" si="8"/>
        <v>379940.13311114995</v>
      </c>
    </row>
    <row r="39" spans="2:18" x14ac:dyDescent="0.2">
      <c r="B39" s="4" t="s">
        <v>35</v>
      </c>
      <c r="C39" s="12"/>
      <c r="D39" s="242">
        <f>'CashFlow-Office'!D54</f>
        <v>0</v>
      </c>
      <c r="E39" s="242">
        <f>'CashFlow-Office'!E54</f>
        <v>0</v>
      </c>
      <c r="F39" s="242">
        <f>'CashFlow-Office'!F54</f>
        <v>0</v>
      </c>
      <c r="G39" s="242">
        <f>'CashFlow-Office'!G54</f>
        <v>0</v>
      </c>
      <c r="H39" s="242">
        <f>'CashFlow-Office'!H54</f>
        <v>0</v>
      </c>
      <c r="I39" s="242">
        <f>'CashFlow-Office'!I54</f>
        <v>0</v>
      </c>
      <c r="J39" s="242">
        <f>'CashFlow-Office'!J54</f>
        <v>0</v>
      </c>
      <c r="K39" s="242">
        <f>'CashFlow-Office'!K54</f>
        <v>0</v>
      </c>
      <c r="L39" s="242">
        <f>'CashFlow-Office'!L54</f>
        <v>0</v>
      </c>
      <c r="M39" s="247">
        <f>'CashFlow-Office'!M54</f>
        <v>748151271.63788867</v>
      </c>
      <c r="O39" s="4" t="str">
        <f t="shared" si="7"/>
        <v>Total Cash Flow from Operations</v>
      </c>
      <c r="P39" s="242">
        <f t="shared" ref="P39" si="9">SUM(P34:P38)</f>
        <v>31713992.465713993</v>
      </c>
      <c r="Q39" s="12"/>
      <c r="R39" s="303">
        <f>SUM(R34:R38)</f>
        <v>704713172.5566318</v>
      </c>
    </row>
    <row r="40" spans="2:18" x14ac:dyDescent="0.2">
      <c r="B40" s="4" t="s">
        <v>73</v>
      </c>
      <c r="C40" s="12"/>
      <c r="D40" s="242">
        <f>'CashFlow-Hotel'!D70</f>
        <v>0</v>
      </c>
      <c r="E40" s="242">
        <f>'CashFlow-Hotel'!E70</f>
        <v>0</v>
      </c>
      <c r="F40" s="242">
        <f>'CashFlow-Hotel'!F70</f>
        <v>0</v>
      </c>
      <c r="G40" s="242">
        <f>'CashFlow-Hotel'!G70</f>
        <v>0</v>
      </c>
      <c r="H40" s="242">
        <f>'CashFlow-Hotel'!H70</f>
        <v>0</v>
      </c>
      <c r="I40" s="242">
        <f>'CashFlow-Hotel'!I70</f>
        <v>0</v>
      </c>
      <c r="J40" s="242">
        <f>'CashFlow-Hotel'!J70</f>
        <v>0</v>
      </c>
      <c r="K40" s="242">
        <f>'CashFlow-Hotel'!K70</f>
        <v>0</v>
      </c>
      <c r="L40" s="242">
        <f>'CashFlow-Hotel'!L70</f>
        <v>0</v>
      </c>
      <c r="M40" s="247">
        <f>'CashFlow-Hotel'!M70</f>
        <v>0</v>
      </c>
      <c r="O40" s="4"/>
      <c r="P40" s="242"/>
      <c r="Q40" s="12"/>
      <c r="R40" s="247"/>
    </row>
    <row r="41" spans="2:18" x14ac:dyDescent="0.2">
      <c r="B41" s="4" t="s">
        <v>403</v>
      </c>
      <c r="C41" s="12"/>
      <c r="D41" s="240">
        <f>'CashFlow-Parking'!D35</f>
        <v>0</v>
      </c>
      <c r="E41" s="240">
        <f>'CashFlow-Parking'!E35</f>
        <v>0</v>
      </c>
      <c r="F41" s="240">
        <f>'CashFlow-Parking'!F35</f>
        <v>0</v>
      </c>
      <c r="G41" s="240">
        <f>'CashFlow-Parking'!G35</f>
        <v>0</v>
      </c>
      <c r="H41" s="240">
        <f>'CashFlow-Parking'!H35</f>
        <v>0</v>
      </c>
      <c r="I41" s="240">
        <f>'CashFlow-Parking'!I35</f>
        <v>0</v>
      </c>
      <c r="J41" s="240">
        <f>'CashFlow-Parking'!J35</f>
        <v>0</v>
      </c>
      <c r="K41" s="240">
        <f>'CashFlow-Parking'!K35</f>
        <v>0</v>
      </c>
      <c r="L41" s="240">
        <f>'CashFlow-Parking'!L35</f>
        <v>0</v>
      </c>
      <c r="M41" s="248">
        <f>'CashFlow-Parking'!M35</f>
        <v>395327.68935278896</v>
      </c>
      <c r="O41" s="4" t="s">
        <v>515</v>
      </c>
      <c r="P41" s="34"/>
      <c r="Q41" s="12"/>
      <c r="R41" s="305">
        <f>'Assumptions-Overall'!$R$9</f>
        <v>0.65</v>
      </c>
    </row>
    <row r="42" spans="2:18" x14ac:dyDescent="0.2">
      <c r="B42" s="4" t="s">
        <v>481</v>
      </c>
      <c r="C42" s="12"/>
      <c r="D42" s="242">
        <f>SUM(D35:D41)</f>
        <v>18641628.468021024</v>
      </c>
      <c r="E42" s="242">
        <f t="shared" ref="E42:M42" si="10">SUM(E35:E41)</f>
        <v>19200877.322061654</v>
      </c>
      <c r="F42" s="242">
        <f t="shared" si="10"/>
        <v>6592301.2139078341</v>
      </c>
      <c r="G42" s="242">
        <f t="shared" si="10"/>
        <v>6790070.2503250688</v>
      </c>
      <c r="H42" s="242">
        <f t="shared" si="10"/>
        <v>212591029.49677634</v>
      </c>
      <c r="I42" s="242">
        <f t="shared" si="10"/>
        <v>0</v>
      </c>
      <c r="J42" s="242">
        <f t="shared" si="10"/>
        <v>0</v>
      </c>
      <c r="K42" s="242">
        <f t="shared" si="10"/>
        <v>0</v>
      </c>
      <c r="L42" s="242">
        <f t="shared" si="10"/>
        <v>0</v>
      </c>
      <c r="M42" s="247">
        <f t="shared" si="10"/>
        <v>813282157.40082884</v>
      </c>
      <c r="O42" s="4" t="s">
        <v>516</v>
      </c>
      <c r="P42" s="34"/>
      <c r="Q42" s="12"/>
      <c r="R42" s="303">
        <f>R39*R41</f>
        <v>458063562.1618107</v>
      </c>
    </row>
    <row r="43" spans="2:18" x14ac:dyDescent="0.2">
      <c r="B43" s="4"/>
      <c r="C43" s="12"/>
      <c r="D43" s="242"/>
      <c r="E43" s="242"/>
      <c r="F43" s="242"/>
      <c r="G43" s="242"/>
      <c r="H43" s="242"/>
      <c r="I43" s="242"/>
      <c r="J43" s="242"/>
      <c r="K43" s="242"/>
      <c r="L43" s="242"/>
      <c r="M43" s="247"/>
      <c r="O43" s="4"/>
      <c r="P43" s="242"/>
      <c r="Q43" s="12"/>
      <c r="R43" s="303"/>
    </row>
    <row r="44" spans="2:18" ht="12.75" thickBot="1" x14ac:dyDescent="0.25">
      <c r="B44" s="4" t="s">
        <v>315</v>
      </c>
      <c r="C44" s="12"/>
      <c r="D44" s="242">
        <f>D18+D20+D30+D32+D42</f>
        <v>-6144514.0628524795</v>
      </c>
      <c r="E44" s="242">
        <f t="shared" ref="E44:M44" si="11">E18+E20+E30+E32+E42</f>
        <v>-5585265.2088118494</v>
      </c>
      <c r="F44" s="242">
        <f t="shared" si="11"/>
        <v>-279582360.77991337</v>
      </c>
      <c r="G44" s="242">
        <f t="shared" si="11"/>
        <v>-274321690.27435428</v>
      </c>
      <c r="H44" s="242">
        <f t="shared" si="11"/>
        <v>231148075.36733305</v>
      </c>
      <c r="I44" s="242">
        <f t="shared" si="11"/>
        <v>31713992.465713993</v>
      </c>
      <c r="J44" s="242">
        <f t="shared" si="11"/>
        <v>32665032.299552307</v>
      </c>
      <c r="K44" s="242">
        <f t="shared" si="11"/>
        <v>33644599.52900444</v>
      </c>
      <c r="L44" s="242">
        <f t="shared" si="11"/>
        <v>34653549.93794477</v>
      </c>
      <c r="M44" s="247">
        <f t="shared" si="11"/>
        <v>848974922.38421285</v>
      </c>
      <c r="O44" s="4" t="s">
        <v>519</v>
      </c>
      <c r="P44" s="242"/>
      <c r="Q44" s="12"/>
      <c r="R44" s="306">
        <f>'Assumptions-Overall'!$R$19</f>
        <v>1.2</v>
      </c>
    </row>
    <row r="45" spans="2:18" ht="12.75" thickBot="1" x14ac:dyDescent="0.25">
      <c r="B45" s="236" t="s">
        <v>320</v>
      </c>
      <c r="C45" s="298">
        <f>IFERROR(IRR(D44:M44),"n/a")</f>
        <v>0.16463288264623244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7"/>
      <c r="O45" s="4" t="s">
        <v>520</v>
      </c>
      <c r="P45" s="242"/>
      <c r="Q45" s="12"/>
      <c r="R45" s="303">
        <f>-PV('Assumptions-Overall'!$R$15/12,'Assumptions-Overall'!$R$27*12,'CashFlow-Combined'!P39/12/'CashFlow-Combined'!R44,0)</f>
        <v>434660438.1827473</v>
      </c>
    </row>
    <row r="46" spans="2:18" x14ac:dyDescent="0.2">
      <c r="B46" s="4"/>
      <c r="C46" s="254"/>
      <c r="D46" s="242"/>
      <c r="E46" s="242"/>
      <c r="F46" s="242"/>
      <c r="G46" s="242"/>
      <c r="H46" s="242"/>
      <c r="I46" s="242"/>
      <c r="J46" s="242"/>
      <c r="K46" s="242"/>
      <c r="L46" s="242"/>
      <c r="M46" s="247"/>
      <c r="O46" s="4"/>
      <c r="P46" s="242"/>
      <c r="Q46" s="12"/>
      <c r="R46" s="303"/>
    </row>
    <row r="47" spans="2:18" x14ac:dyDescent="0.2">
      <c r="B47" s="53" t="s">
        <v>91</v>
      </c>
      <c r="C47" s="254"/>
      <c r="D47" s="242"/>
      <c r="E47" s="242"/>
      <c r="F47" s="242"/>
      <c r="G47" s="242"/>
      <c r="H47" s="242"/>
      <c r="I47" s="242"/>
      <c r="J47" s="242"/>
      <c r="K47" s="242"/>
      <c r="L47" s="242"/>
      <c r="M47" s="247"/>
      <c r="O47" s="4" t="s">
        <v>521</v>
      </c>
      <c r="P47" s="242"/>
      <c r="Q47" s="12"/>
      <c r="R47" s="303">
        <f>MIN(R42,R45)</f>
        <v>434660438.1827473</v>
      </c>
    </row>
    <row r="48" spans="2:18" x14ac:dyDescent="0.2">
      <c r="B48" s="4" t="s">
        <v>503</v>
      </c>
      <c r="C48" s="254"/>
      <c r="D48" s="242">
        <f t="shared" ref="D48:M48" ca="1" si="12">-(D$8=YEAR(PhaseIPreconBegin))*$P29</f>
        <v>-4561563.1477897745</v>
      </c>
      <c r="E48" s="242">
        <f t="shared" ca="1" si="12"/>
        <v>0</v>
      </c>
      <c r="F48" s="242">
        <f t="shared" ca="1" si="12"/>
        <v>0</v>
      </c>
      <c r="G48" s="242">
        <f t="shared" ca="1" si="12"/>
        <v>0</v>
      </c>
      <c r="H48" s="242">
        <f t="shared" ca="1" si="12"/>
        <v>0</v>
      </c>
      <c r="I48" s="242">
        <f t="shared" ca="1" si="12"/>
        <v>0</v>
      </c>
      <c r="J48" s="242">
        <f t="shared" ca="1" si="12"/>
        <v>0</v>
      </c>
      <c r="K48" s="242">
        <f t="shared" ca="1" si="12"/>
        <v>0</v>
      </c>
      <c r="L48" s="242">
        <f t="shared" ca="1" si="12"/>
        <v>0</v>
      </c>
      <c r="M48" s="247">
        <f t="shared" ca="1" si="12"/>
        <v>0</v>
      </c>
      <c r="O48" s="4" t="s">
        <v>522</v>
      </c>
      <c r="P48" s="242"/>
      <c r="Q48" s="12"/>
      <c r="R48" s="303">
        <f>PMT('Assumptions-Overall'!$R$15/12,'Assumptions-Overall'!$R$27*12,-'CashFlow-Combined'!R47,0)*12</f>
        <v>26428327.054761406</v>
      </c>
    </row>
    <row r="49" spans="2:18" x14ac:dyDescent="0.2">
      <c r="B49" s="4" t="s">
        <v>499</v>
      </c>
      <c r="C49" s="254"/>
      <c r="D49" s="242">
        <f ca="1">MAX(-D44-D48,0)</f>
        <v>10706077.210642254</v>
      </c>
      <c r="E49" s="242">
        <f t="shared" ref="E49:M49" ca="1" si="13">MAX(-E44-E48,0)</f>
        <v>5585265.2088118494</v>
      </c>
      <c r="F49" s="242">
        <f t="shared" ca="1" si="13"/>
        <v>279582360.77991337</v>
      </c>
      <c r="G49" s="242">
        <f t="shared" ca="1" si="13"/>
        <v>274321690.27435428</v>
      </c>
      <c r="H49" s="242">
        <f t="shared" ca="1" si="13"/>
        <v>0</v>
      </c>
      <c r="I49" s="242">
        <f t="shared" ca="1" si="13"/>
        <v>0</v>
      </c>
      <c r="J49" s="242">
        <f t="shared" ca="1" si="13"/>
        <v>0</v>
      </c>
      <c r="K49" s="242">
        <f t="shared" ca="1" si="13"/>
        <v>0</v>
      </c>
      <c r="L49" s="242">
        <f t="shared" ca="1" si="13"/>
        <v>0</v>
      </c>
      <c r="M49" s="247">
        <f t="shared" ca="1" si="13"/>
        <v>0</v>
      </c>
      <c r="O49" s="4" t="s">
        <v>523</v>
      </c>
      <c r="P49" s="12"/>
      <c r="Q49" s="12"/>
      <c r="R49" s="247">
        <f>R47*'Assumptions-Overall'!$R$23</f>
        <v>4346604.3818274727</v>
      </c>
    </row>
    <row r="50" spans="2:18" ht="12.75" thickBot="1" x14ac:dyDescent="0.25">
      <c r="B50" s="4" t="s">
        <v>500</v>
      </c>
      <c r="C50" s="254"/>
      <c r="D50" s="242">
        <f ca="1">+IF(SUM($C50:C50)&lt;$P14,MIN(D49,$P14-SUM($C50:C50)),0)</f>
        <v>10706077.210642254</v>
      </c>
      <c r="E50" s="242">
        <f ca="1">+IF(SUM($C50:D50)&lt;$P14,MIN(E49,$P14-SUM($C50:D50)),0)</f>
        <v>5585265.2088118494</v>
      </c>
      <c r="F50" s="242">
        <f ca="1">+IF(SUM($C50:E50)&lt;$P14,MIN(F49,$P14-SUM($C50:E50)),0)</f>
        <v>97747736.275290221</v>
      </c>
      <c r="G50" s="242">
        <f ca="1">+IF(SUM($C50:F50)&lt;$P14,MIN(G49,$P14-SUM($C50:F50)),0)</f>
        <v>0</v>
      </c>
      <c r="H50" s="242">
        <f ca="1">+IF(SUM($C50:G50)&lt;$P14,MIN(H49,$P14-SUM($C50:G50)),0)</f>
        <v>0</v>
      </c>
      <c r="I50" s="242">
        <f ca="1">+IF(SUM($C50:H50)&lt;$P14,MIN(I49,$P14-SUM($C50:H50)),0)</f>
        <v>0</v>
      </c>
      <c r="J50" s="242">
        <f ca="1">+IF(SUM($C50:I50)&lt;$P14,MIN(J49,$P14-SUM($C50:I50)),0)</f>
        <v>0</v>
      </c>
      <c r="K50" s="242">
        <f ca="1">+IF(SUM($C50:J50)&lt;$P14,MIN(K49,$P14-SUM($C50:J50)),0)</f>
        <v>0</v>
      </c>
      <c r="L50" s="242">
        <f ca="1">+IF(SUM($C50:K50)&lt;$P14,MIN(L49,$P14-SUM($C50:K50)),0)</f>
        <v>0</v>
      </c>
      <c r="M50" s="247">
        <f ca="1">+IF(SUM($C50:L50)&lt;$P14,MIN(M49,$P14-SUM($C50:L50)),0)</f>
        <v>0</v>
      </c>
      <c r="O50" s="6" t="s">
        <v>525</v>
      </c>
      <c r="P50" s="15"/>
      <c r="Q50" s="15"/>
      <c r="R50" s="307">
        <f>-PV('Assumptions-Overall'!$R$15/12,'Assumptions-Overall'!$R$27*12-(YEAR('Assumptions-Overall'!$C$30)-YEAR(PhaseIRefi)+1),'CashFlow-Combined'!R48/12,0)</f>
        <v>431776973.41873205</v>
      </c>
    </row>
    <row r="51" spans="2:18" x14ac:dyDescent="0.2">
      <c r="B51" s="4" t="s">
        <v>501</v>
      </c>
      <c r="C51" s="254"/>
      <c r="D51" s="242">
        <f ca="1">+IF(SUM($C51:C51)&lt;$P15,MIN(D49-D50,$P15-SUM($C51:C51)),0)</f>
        <v>0</v>
      </c>
      <c r="E51" s="242">
        <f ca="1">+IF(SUM($C51:D51)&lt;$P15,MIN(E49-E50,$P15-SUM($C51:D51)),0)</f>
        <v>0</v>
      </c>
      <c r="F51" s="242">
        <f ca="1">+IF(SUM($C51:E51)&lt;$P15,MIN(F49-F50,$P15-SUM($C51:E51)),0)</f>
        <v>114039078.69474435</v>
      </c>
      <c r="G51" s="242">
        <f ca="1">+IF(SUM($C51:F51)&lt;$P15,MIN(G49-G50,$P15-SUM($C51:F51)),0)</f>
        <v>0</v>
      </c>
      <c r="H51" s="242">
        <f ca="1">+IF(SUM($C51:G51)&lt;$P15,MIN(H49-H50,$P15-SUM($C51:G51)),0)</f>
        <v>0</v>
      </c>
      <c r="I51" s="242">
        <f ca="1">+IF(SUM($C51:H51)&lt;$P15,MIN(I49-I50,$P15-SUM($C51:H51)),0)</f>
        <v>0</v>
      </c>
      <c r="J51" s="242">
        <f ca="1">+IF(SUM($C51:I51)&lt;$P15,MIN(J49-J50,$P15-SUM($C51:I51)),0)</f>
        <v>0</v>
      </c>
      <c r="K51" s="242">
        <f ca="1">+IF(SUM($C51:J51)&lt;$P15,MIN(K49-K50,$P15-SUM($C51:J51)),0)</f>
        <v>0</v>
      </c>
      <c r="L51" s="242">
        <f ca="1">+IF(SUM($C51:K51)&lt;$P15,MIN(L49-L50,$P15-SUM($C51:K51)),0)</f>
        <v>0</v>
      </c>
      <c r="M51" s="247">
        <f ca="1">+IF(SUM($C51:L51)&lt;$P15,MIN(M49-M50,$P15-SUM($C51:L51)),0)</f>
        <v>0</v>
      </c>
    </row>
    <row r="52" spans="2:18" x14ac:dyDescent="0.2">
      <c r="B52" s="4" t="s">
        <v>502</v>
      </c>
      <c r="C52" s="254"/>
      <c r="D52" s="242">
        <f t="shared" ref="D52:M52" ca="1" si="14">D49-D50-D51</f>
        <v>0</v>
      </c>
      <c r="E52" s="242">
        <f t="shared" ca="1" si="14"/>
        <v>0</v>
      </c>
      <c r="F52" s="242">
        <f t="shared" ca="1" si="14"/>
        <v>67795545.809878796</v>
      </c>
      <c r="G52" s="242">
        <f t="shared" ca="1" si="14"/>
        <v>274321690.27435428</v>
      </c>
      <c r="H52" s="242">
        <f t="shared" ca="1" si="14"/>
        <v>0</v>
      </c>
      <c r="I52" s="242">
        <f t="shared" ca="1" si="14"/>
        <v>0</v>
      </c>
      <c r="J52" s="242">
        <f t="shared" ca="1" si="14"/>
        <v>0</v>
      </c>
      <c r="K52" s="242">
        <f t="shared" ca="1" si="14"/>
        <v>0</v>
      </c>
      <c r="L52" s="242">
        <f t="shared" ca="1" si="14"/>
        <v>0</v>
      </c>
      <c r="M52" s="247">
        <f t="shared" ca="1" si="14"/>
        <v>0</v>
      </c>
    </row>
    <row r="53" spans="2:18" x14ac:dyDescent="0.2">
      <c r="B53" s="4"/>
      <c r="C53" s="254"/>
      <c r="D53" s="242"/>
      <c r="E53" s="242"/>
      <c r="F53" s="242"/>
      <c r="G53" s="242"/>
      <c r="H53" s="242"/>
      <c r="I53" s="242"/>
      <c r="J53" s="242"/>
      <c r="K53" s="242"/>
      <c r="L53" s="242"/>
      <c r="M53" s="247"/>
    </row>
    <row r="54" spans="2:18" x14ac:dyDescent="0.2">
      <c r="B54" s="4" t="s">
        <v>517</v>
      </c>
      <c r="C54" s="254"/>
      <c r="D54" s="242">
        <f t="shared" ref="D54:M54" si="15">(D$8&gt;=YEAR(PhaseIComplete))*SUM(D36:D37)</f>
        <v>0</v>
      </c>
      <c r="E54" s="242">
        <f t="shared" si="15"/>
        <v>0</v>
      </c>
      <c r="F54" s="242">
        <f t="shared" si="15"/>
        <v>0</v>
      </c>
      <c r="G54" s="242">
        <f t="shared" si="15"/>
        <v>0</v>
      </c>
      <c r="H54" s="242">
        <f t="shared" si="15"/>
        <v>212591029.49677634</v>
      </c>
      <c r="I54" s="242">
        <f t="shared" si="15"/>
        <v>0</v>
      </c>
      <c r="J54" s="242">
        <f t="shared" si="15"/>
        <v>0</v>
      </c>
      <c r="K54" s="242">
        <f t="shared" si="15"/>
        <v>0</v>
      </c>
      <c r="L54" s="242">
        <f t="shared" si="15"/>
        <v>0</v>
      </c>
      <c r="M54" s="247">
        <f t="shared" si="15"/>
        <v>0</v>
      </c>
    </row>
    <row r="55" spans="2:18" x14ac:dyDescent="0.2">
      <c r="B55" s="4"/>
      <c r="C55" s="254"/>
      <c r="D55" s="242"/>
      <c r="E55" s="242"/>
      <c r="F55" s="242"/>
      <c r="G55" s="242"/>
      <c r="H55" s="242"/>
      <c r="I55" s="242"/>
      <c r="J55" s="242"/>
      <c r="K55" s="242"/>
      <c r="L55" s="242"/>
      <c r="M55" s="247"/>
    </row>
    <row r="56" spans="2:18" x14ac:dyDescent="0.2">
      <c r="B56" s="299" t="s">
        <v>94</v>
      </c>
      <c r="C56" s="254"/>
      <c r="D56" s="242"/>
      <c r="E56" s="242"/>
      <c r="F56" s="242"/>
      <c r="G56" s="242"/>
      <c r="H56" s="242"/>
      <c r="I56" s="242"/>
      <c r="J56" s="242"/>
      <c r="K56" s="242"/>
      <c r="L56" s="242"/>
      <c r="M56" s="247"/>
    </row>
    <row r="57" spans="2:18" x14ac:dyDescent="0.2">
      <c r="B57" s="4" t="s">
        <v>505</v>
      </c>
      <c r="C57" s="254"/>
      <c r="D57" s="242">
        <f>C62</f>
        <v>0</v>
      </c>
      <c r="E57" s="242">
        <f t="shared" ref="E57:M57" ca="1" si="16">D62</f>
        <v>0</v>
      </c>
      <c r="F57" s="242">
        <f t="shared" ca="1" si="16"/>
        <v>0</v>
      </c>
      <c r="G57" s="242">
        <f t="shared" ca="1" si="16"/>
        <v>67795545.809878796</v>
      </c>
      <c r="H57" s="242">
        <f t="shared" ca="1" si="16"/>
        <v>345585784.87579447</v>
      </c>
      <c r="I57" s="242">
        <f t="shared" ca="1" si="16"/>
        <v>0</v>
      </c>
      <c r="J57" s="242">
        <f t="shared" ca="1" si="16"/>
        <v>0</v>
      </c>
      <c r="K57" s="242">
        <f t="shared" ca="1" si="16"/>
        <v>0</v>
      </c>
      <c r="L57" s="242">
        <f t="shared" ca="1" si="16"/>
        <v>0</v>
      </c>
      <c r="M57" s="247">
        <f t="shared" ca="1" si="16"/>
        <v>0</v>
      </c>
    </row>
    <row r="58" spans="2:18" x14ac:dyDescent="0.2">
      <c r="B58" s="4" t="s">
        <v>506</v>
      </c>
      <c r="C58" s="254"/>
      <c r="D58" s="242">
        <f>D57*(((1+'Assumptions-Overall'!$P$15/12)^12)-1)</f>
        <v>0</v>
      </c>
      <c r="E58" s="242">
        <f ca="1">E57*(((1+'Assumptions-Overall'!$P$15/12)^12)-1)</f>
        <v>0</v>
      </c>
      <c r="F58" s="242">
        <f ca="1">F57*(((1+'Assumptions-Overall'!$P$15/12)^12)-1)</f>
        <v>0</v>
      </c>
      <c r="G58" s="242">
        <f ca="1">G57*(((1+'Assumptions-Overall'!$P$15/12)^12)-1)</f>
        <v>3468548.7915613991</v>
      </c>
      <c r="H58" s="242">
        <f ca="1">H57*(((1+'Assumptions-Overall'!$P$15/12)^12)-1)</f>
        <v>17680824.635194089</v>
      </c>
      <c r="I58" s="242">
        <f ca="1">I57*(((1+'Assumptions-Overall'!$P$15/12)^12)-1)</f>
        <v>0</v>
      </c>
      <c r="J58" s="242">
        <f ca="1">J57*(((1+'Assumptions-Overall'!$P$15/12)^12)-1)</f>
        <v>0</v>
      </c>
      <c r="K58" s="242">
        <f ca="1">K57*(((1+'Assumptions-Overall'!$P$15/12)^12)-1)</f>
        <v>0</v>
      </c>
      <c r="L58" s="242">
        <f ca="1">L57*(((1+'Assumptions-Overall'!$P$15/12)^12)-1)</f>
        <v>0</v>
      </c>
      <c r="M58" s="247">
        <f ca="1">M57*(((1+'Assumptions-Overall'!$P$15/12)^12)-1)</f>
        <v>0</v>
      </c>
    </row>
    <row r="59" spans="2:18" x14ac:dyDescent="0.2">
      <c r="B59" s="4" t="s">
        <v>507</v>
      </c>
      <c r="C59" s="254"/>
      <c r="D59" s="242">
        <f ca="1">D52</f>
        <v>0</v>
      </c>
      <c r="E59" s="242">
        <f t="shared" ref="E59:M59" ca="1" si="17">E52</f>
        <v>0</v>
      </c>
      <c r="F59" s="242">
        <f t="shared" ca="1" si="17"/>
        <v>67795545.809878796</v>
      </c>
      <c r="G59" s="242">
        <f t="shared" ca="1" si="17"/>
        <v>274321690.27435428</v>
      </c>
      <c r="H59" s="242">
        <f t="shared" ca="1" si="17"/>
        <v>0</v>
      </c>
      <c r="I59" s="242">
        <f t="shared" ca="1" si="17"/>
        <v>0</v>
      </c>
      <c r="J59" s="242">
        <f t="shared" ca="1" si="17"/>
        <v>0</v>
      </c>
      <c r="K59" s="242">
        <f t="shared" ca="1" si="17"/>
        <v>0</v>
      </c>
      <c r="L59" s="242">
        <f t="shared" ca="1" si="17"/>
        <v>0</v>
      </c>
      <c r="M59" s="247">
        <f t="shared" ca="1" si="17"/>
        <v>0</v>
      </c>
    </row>
    <row r="60" spans="2:18" x14ac:dyDescent="0.2">
      <c r="B60" s="4" t="s">
        <v>518</v>
      </c>
      <c r="C60" s="254"/>
      <c r="D60" s="242">
        <f>-(D57&lt;&gt;0)*D54*$Q16/SUM($Q15:$Q16)</f>
        <v>0</v>
      </c>
      <c r="E60" s="242">
        <f t="shared" ref="E60:M60" ca="1" si="18">-(E57&lt;&gt;0)*E54*$Q16/SUM($Q15:$Q16)</f>
        <v>0</v>
      </c>
      <c r="F60" s="242">
        <f t="shared" ca="1" si="18"/>
        <v>0</v>
      </c>
      <c r="G60" s="242">
        <f t="shared" ca="1" si="18"/>
        <v>0</v>
      </c>
      <c r="H60" s="242">
        <f t="shared" ca="1" si="18"/>
        <v>-159443272.12258226</v>
      </c>
      <c r="I60" s="242">
        <f t="shared" ca="1" si="18"/>
        <v>0</v>
      </c>
      <c r="J60" s="242">
        <f t="shared" ca="1" si="18"/>
        <v>0</v>
      </c>
      <c r="K60" s="242">
        <f t="shared" ca="1" si="18"/>
        <v>0</v>
      </c>
      <c r="L60" s="242">
        <f t="shared" ca="1" si="18"/>
        <v>0</v>
      </c>
      <c r="M60" s="247">
        <f t="shared" ca="1" si="18"/>
        <v>0</v>
      </c>
    </row>
    <row r="61" spans="2:18" x14ac:dyDescent="0.2">
      <c r="B61" s="4" t="s">
        <v>509</v>
      </c>
      <c r="C61" s="254"/>
      <c r="D61" s="242">
        <f t="shared" ref="D61:M61" ca="1" si="19">-(D$8=YEAR(PhaseIRefi-1))*SUM(D57:D60)</f>
        <v>0</v>
      </c>
      <c r="E61" s="242">
        <f t="shared" ca="1" si="19"/>
        <v>0</v>
      </c>
      <c r="F61" s="242">
        <f t="shared" ca="1" si="19"/>
        <v>0</v>
      </c>
      <c r="G61" s="242">
        <f t="shared" ca="1" si="19"/>
        <v>0</v>
      </c>
      <c r="H61" s="242">
        <f t="shared" ca="1" si="19"/>
        <v>-203823337.38840628</v>
      </c>
      <c r="I61" s="242">
        <f t="shared" ca="1" si="19"/>
        <v>0</v>
      </c>
      <c r="J61" s="242">
        <f t="shared" ca="1" si="19"/>
        <v>0</v>
      </c>
      <c r="K61" s="242">
        <f t="shared" ca="1" si="19"/>
        <v>0</v>
      </c>
      <c r="L61" s="242">
        <f t="shared" ca="1" si="19"/>
        <v>0</v>
      </c>
      <c r="M61" s="247">
        <f t="shared" ca="1" si="19"/>
        <v>0</v>
      </c>
    </row>
    <row r="62" spans="2:18" x14ac:dyDescent="0.2">
      <c r="B62" s="4" t="s">
        <v>508</v>
      </c>
      <c r="C62" s="254"/>
      <c r="D62" s="242">
        <f ca="1">SUM(D57:D61)</f>
        <v>0</v>
      </c>
      <c r="E62" s="242">
        <f t="shared" ref="E62:M62" ca="1" si="20">SUM(E57:E61)</f>
        <v>0</v>
      </c>
      <c r="F62" s="242">
        <f t="shared" ca="1" si="20"/>
        <v>67795545.809878796</v>
      </c>
      <c r="G62" s="242">
        <f t="shared" ca="1" si="20"/>
        <v>345585784.87579447</v>
      </c>
      <c r="H62" s="242">
        <f t="shared" ca="1" si="20"/>
        <v>0</v>
      </c>
      <c r="I62" s="242">
        <f t="shared" ca="1" si="20"/>
        <v>0</v>
      </c>
      <c r="J62" s="242">
        <f t="shared" ca="1" si="20"/>
        <v>0</v>
      </c>
      <c r="K62" s="242">
        <f t="shared" ca="1" si="20"/>
        <v>0</v>
      </c>
      <c r="L62" s="242">
        <f t="shared" ca="1" si="20"/>
        <v>0</v>
      </c>
      <c r="M62" s="247">
        <f t="shared" ca="1" si="20"/>
        <v>0</v>
      </c>
    </row>
    <row r="63" spans="2:18" x14ac:dyDescent="0.2">
      <c r="B63" s="4"/>
      <c r="C63" s="254"/>
      <c r="D63" s="242"/>
      <c r="E63" s="242"/>
      <c r="F63" s="242"/>
      <c r="G63" s="242"/>
      <c r="H63" s="242"/>
      <c r="I63" s="242"/>
      <c r="J63" s="242"/>
      <c r="K63" s="242"/>
      <c r="L63" s="242"/>
      <c r="M63" s="247"/>
    </row>
    <row r="64" spans="2:18" x14ac:dyDescent="0.2">
      <c r="B64" s="299" t="s">
        <v>95</v>
      </c>
      <c r="C64" s="254"/>
      <c r="D64" s="242"/>
      <c r="E64" s="242"/>
      <c r="F64" s="242"/>
      <c r="G64" s="242"/>
      <c r="H64" s="242"/>
      <c r="I64" s="242"/>
      <c r="J64" s="242"/>
      <c r="K64" s="242"/>
      <c r="L64" s="242"/>
      <c r="M64" s="247"/>
    </row>
    <row r="65" spans="2:15" x14ac:dyDescent="0.2">
      <c r="B65" s="4" t="s">
        <v>505</v>
      </c>
      <c r="C65" s="254"/>
      <c r="D65" s="242">
        <f>C70</f>
        <v>0</v>
      </c>
      <c r="E65" s="242">
        <f t="shared" ref="E65:M65" ca="1" si="21">D70</f>
        <v>0</v>
      </c>
      <c r="F65" s="242">
        <f t="shared" ca="1" si="21"/>
        <v>0</v>
      </c>
      <c r="G65" s="242">
        <f t="shared" ca="1" si="21"/>
        <v>114039078.69474435</v>
      </c>
      <c r="H65" s="242">
        <f t="shared" ca="1" si="21"/>
        <v>128502088.28642738</v>
      </c>
      <c r="I65" s="242">
        <f t="shared" ca="1" si="21"/>
        <v>0</v>
      </c>
      <c r="J65" s="242">
        <f t="shared" ca="1" si="21"/>
        <v>0</v>
      </c>
      <c r="K65" s="242">
        <f t="shared" ca="1" si="21"/>
        <v>0</v>
      </c>
      <c r="L65" s="242">
        <f t="shared" ca="1" si="21"/>
        <v>0</v>
      </c>
      <c r="M65" s="247">
        <f t="shared" ca="1" si="21"/>
        <v>0</v>
      </c>
    </row>
    <row r="66" spans="2:15" x14ac:dyDescent="0.2">
      <c r="B66" s="4" t="s">
        <v>506</v>
      </c>
      <c r="C66" s="254"/>
      <c r="D66" s="242">
        <f>D65*(((1+'Assumptions-Overall'!$P$16/12)^12)-1)</f>
        <v>0</v>
      </c>
      <c r="E66" s="242">
        <f ca="1">E65*(((1+'Assumptions-Overall'!$P$16/12)^12)-1)</f>
        <v>0</v>
      </c>
      <c r="F66" s="242">
        <f ca="1">F65*(((1+'Assumptions-Overall'!$P$16/12)^12)-1)</f>
        <v>0</v>
      </c>
      <c r="G66" s="242">
        <f ca="1">G65*(((1+'Assumptions-Overall'!$P$16/12)^12)-1)</f>
        <v>14463009.591683025</v>
      </c>
      <c r="H66" s="242">
        <f ca="1">H65*(((1+'Assumptions-Overall'!$P$16/12)^12)-1)</f>
        <v>16297281.218947193</v>
      </c>
      <c r="I66" s="242">
        <f ca="1">I65*(((1+'Assumptions-Overall'!$P$16/12)^12)-1)</f>
        <v>0</v>
      </c>
      <c r="J66" s="242">
        <f ca="1">J65*(((1+'Assumptions-Overall'!$P$16/12)^12)-1)</f>
        <v>0</v>
      </c>
      <c r="K66" s="242">
        <f ca="1">K65*(((1+'Assumptions-Overall'!$P$16/12)^12)-1)</f>
        <v>0</v>
      </c>
      <c r="L66" s="242">
        <f ca="1">L65*(((1+'Assumptions-Overall'!$P$16/12)^12)-1)</f>
        <v>0</v>
      </c>
      <c r="M66" s="247">
        <f ca="1">M65*(((1+'Assumptions-Overall'!$P$16/12)^12)-1)</f>
        <v>0</v>
      </c>
    </row>
    <row r="67" spans="2:15" x14ac:dyDescent="0.2">
      <c r="B67" s="4" t="s">
        <v>507</v>
      </c>
      <c r="C67" s="254"/>
      <c r="D67" s="242">
        <f ca="1">D51</f>
        <v>0</v>
      </c>
      <c r="E67" s="242">
        <f t="shared" ref="E67:M67" ca="1" si="22">E51</f>
        <v>0</v>
      </c>
      <c r="F67" s="242">
        <f t="shared" ca="1" si="22"/>
        <v>114039078.69474435</v>
      </c>
      <c r="G67" s="242">
        <f t="shared" ca="1" si="22"/>
        <v>0</v>
      </c>
      <c r="H67" s="242">
        <f t="shared" ca="1" si="22"/>
        <v>0</v>
      </c>
      <c r="I67" s="242">
        <f t="shared" ca="1" si="22"/>
        <v>0</v>
      </c>
      <c r="J67" s="242">
        <f t="shared" ca="1" si="22"/>
        <v>0</v>
      </c>
      <c r="K67" s="242">
        <f t="shared" ca="1" si="22"/>
        <v>0</v>
      </c>
      <c r="L67" s="242">
        <f t="shared" ca="1" si="22"/>
        <v>0</v>
      </c>
      <c r="M67" s="247">
        <f t="shared" ca="1" si="22"/>
        <v>0</v>
      </c>
    </row>
    <row r="68" spans="2:15" x14ac:dyDescent="0.2">
      <c r="B68" s="4" t="s">
        <v>518</v>
      </c>
      <c r="C68" s="254"/>
      <c r="D68" s="242">
        <f>-(D65&lt;&gt;0)*D54*$Q15/SUM($Q15:$Q16)</f>
        <v>0</v>
      </c>
      <c r="E68" s="242">
        <f t="shared" ref="E68:M68" ca="1" si="23">-(E65&lt;&gt;0)*E54*$Q15/SUM($Q15:$Q16)</f>
        <v>0</v>
      </c>
      <c r="F68" s="242">
        <f t="shared" ca="1" si="23"/>
        <v>0</v>
      </c>
      <c r="G68" s="242">
        <f t="shared" ca="1" si="23"/>
        <v>0</v>
      </c>
      <c r="H68" s="242">
        <f t="shared" ca="1" si="23"/>
        <v>-53147757.374194086</v>
      </c>
      <c r="I68" s="242">
        <f t="shared" ca="1" si="23"/>
        <v>0</v>
      </c>
      <c r="J68" s="242">
        <f t="shared" ca="1" si="23"/>
        <v>0</v>
      </c>
      <c r="K68" s="242">
        <f t="shared" ca="1" si="23"/>
        <v>0</v>
      </c>
      <c r="L68" s="242">
        <f t="shared" ca="1" si="23"/>
        <v>0</v>
      </c>
      <c r="M68" s="247">
        <f t="shared" ca="1" si="23"/>
        <v>0</v>
      </c>
    </row>
    <row r="69" spans="2:15" x14ac:dyDescent="0.2">
      <c r="B69" s="4" t="s">
        <v>509</v>
      </c>
      <c r="C69" s="254"/>
      <c r="D69" s="242">
        <f t="shared" ref="D69:M69" ca="1" si="24">-(D$8=YEAR(PhaseIRefi-1))*SUM(D65:D68)</f>
        <v>0</v>
      </c>
      <c r="E69" s="242">
        <f t="shared" ca="1" si="24"/>
        <v>0</v>
      </c>
      <c r="F69" s="242">
        <f t="shared" ca="1" si="24"/>
        <v>0</v>
      </c>
      <c r="G69" s="242">
        <f t="shared" ca="1" si="24"/>
        <v>0</v>
      </c>
      <c r="H69" s="242">
        <f t="shared" ca="1" si="24"/>
        <v>-91651612.131180495</v>
      </c>
      <c r="I69" s="242">
        <f t="shared" ca="1" si="24"/>
        <v>0</v>
      </c>
      <c r="J69" s="242">
        <f t="shared" ca="1" si="24"/>
        <v>0</v>
      </c>
      <c r="K69" s="242">
        <f t="shared" ca="1" si="24"/>
        <v>0</v>
      </c>
      <c r="L69" s="242">
        <f t="shared" ca="1" si="24"/>
        <v>0</v>
      </c>
      <c r="M69" s="247">
        <f t="shared" ca="1" si="24"/>
        <v>0</v>
      </c>
    </row>
    <row r="70" spans="2:15" x14ac:dyDescent="0.2">
      <c r="B70" s="4" t="s">
        <v>508</v>
      </c>
      <c r="C70" s="254"/>
      <c r="D70" s="242">
        <f ca="1">SUM(D65:D69)</f>
        <v>0</v>
      </c>
      <c r="E70" s="242">
        <f t="shared" ref="E70:M70" ca="1" si="25">SUM(E65:E69)</f>
        <v>0</v>
      </c>
      <c r="F70" s="242">
        <f t="shared" ca="1" si="25"/>
        <v>114039078.69474435</v>
      </c>
      <c r="G70" s="242">
        <f t="shared" ca="1" si="25"/>
        <v>128502088.28642738</v>
      </c>
      <c r="H70" s="242">
        <f t="shared" ca="1" si="25"/>
        <v>0</v>
      </c>
      <c r="I70" s="242">
        <f t="shared" ca="1" si="25"/>
        <v>0</v>
      </c>
      <c r="J70" s="242">
        <f t="shared" ca="1" si="25"/>
        <v>0</v>
      </c>
      <c r="K70" s="242">
        <f t="shared" ca="1" si="25"/>
        <v>0</v>
      </c>
      <c r="L70" s="242">
        <f t="shared" ca="1" si="25"/>
        <v>0</v>
      </c>
      <c r="M70" s="247">
        <f t="shared" ca="1" si="25"/>
        <v>0</v>
      </c>
    </row>
    <row r="71" spans="2:15" x14ac:dyDescent="0.2">
      <c r="B71" s="4"/>
      <c r="C71" s="254"/>
      <c r="D71" s="242"/>
      <c r="E71" s="242"/>
      <c r="F71" s="242"/>
      <c r="G71" s="242"/>
      <c r="H71" s="242"/>
      <c r="I71" s="242"/>
      <c r="J71" s="242"/>
      <c r="K71" s="242"/>
      <c r="L71" s="242"/>
      <c r="M71" s="247"/>
    </row>
    <row r="72" spans="2:15" x14ac:dyDescent="0.2">
      <c r="B72" s="53" t="s">
        <v>98</v>
      </c>
      <c r="C72" s="254"/>
      <c r="D72" s="242"/>
      <c r="E72" s="242"/>
      <c r="F72" s="242"/>
      <c r="G72" s="242"/>
      <c r="H72" s="242"/>
      <c r="I72" s="242"/>
      <c r="J72" s="242"/>
      <c r="K72" s="242"/>
      <c r="L72" s="242"/>
      <c r="M72" s="247"/>
    </row>
    <row r="73" spans="2:15" x14ac:dyDescent="0.2">
      <c r="B73" s="4"/>
      <c r="C73" s="254"/>
      <c r="D73" s="242"/>
      <c r="E73" s="242"/>
      <c r="F73" s="242"/>
      <c r="G73" s="242"/>
      <c r="H73" s="242"/>
      <c r="I73" s="242"/>
      <c r="J73" s="242"/>
      <c r="K73" s="242"/>
      <c r="L73" s="242"/>
      <c r="M73" s="247"/>
    </row>
    <row r="74" spans="2:15" x14ac:dyDescent="0.2">
      <c r="B74" s="299" t="s">
        <v>94</v>
      </c>
      <c r="C74" s="254"/>
      <c r="D74" s="242"/>
      <c r="E74" s="242"/>
      <c r="F74" s="242"/>
      <c r="G74" s="242"/>
      <c r="H74" s="242"/>
      <c r="I74" s="242"/>
      <c r="J74" s="242"/>
      <c r="K74" s="242"/>
      <c r="L74" s="242"/>
      <c r="M74" s="247"/>
    </row>
    <row r="75" spans="2:15" x14ac:dyDescent="0.2">
      <c r="B75" s="4" t="s">
        <v>523</v>
      </c>
      <c r="C75" s="254"/>
      <c r="D75" s="242">
        <f t="shared" ref="D75:M75" si="26">-(D$8=YEAR(PhaseIRefi-1))*$R49</f>
        <v>0</v>
      </c>
      <c r="E75" s="242">
        <f t="shared" si="26"/>
        <v>0</v>
      </c>
      <c r="F75" s="242">
        <f t="shared" si="26"/>
        <v>0</v>
      </c>
      <c r="G75" s="242">
        <f t="shared" si="26"/>
        <v>0</v>
      </c>
      <c r="H75" s="242">
        <f t="shared" si="26"/>
        <v>-4346604.3818274727</v>
      </c>
      <c r="I75" s="242">
        <f t="shared" si="26"/>
        <v>0</v>
      </c>
      <c r="J75" s="242">
        <f t="shared" si="26"/>
        <v>0</v>
      </c>
      <c r="K75" s="242">
        <f t="shared" si="26"/>
        <v>0</v>
      </c>
      <c r="L75" s="242">
        <f t="shared" si="26"/>
        <v>0</v>
      </c>
      <c r="M75" s="247">
        <f t="shared" si="26"/>
        <v>0</v>
      </c>
    </row>
    <row r="76" spans="2:15" x14ac:dyDescent="0.2">
      <c r="B76" s="4" t="s">
        <v>527</v>
      </c>
      <c r="C76" s="254"/>
      <c r="D76" s="242">
        <f t="shared" ref="D76:M76" si="27">(D$8=YEAR(PhaseIRefi-1))*$R47</f>
        <v>0</v>
      </c>
      <c r="E76" s="242">
        <f t="shared" si="27"/>
        <v>0</v>
      </c>
      <c r="F76" s="242">
        <f t="shared" si="27"/>
        <v>0</v>
      </c>
      <c r="G76" s="242">
        <f t="shared" si="27"/>
        <v>0</v>
      </c>
      <c r="H76" s="242">
        <f t="shared" si="27"/>
        <v>434660438.1827473</v>
      </c>
      <c r="I76" s="242">
        <f t="shared" si="27"/>
        <v>0</v>
      </c>
      <c r="J76" s="242">
        <f t="shared" si="27"/>
        <v>0</v>
      </c>
      <c r="K76" s="242">
        <f t="shared" si="27"/>
        <v>0</v>
      </c>
      <c r="L76" s="242">
        <f t="shared" si="27"/>
        <v>0</v>
      </c>
      <c r="M76" s="247">
        <f t="shared" si="27"/>
        <v>0</v>
      </c>
    </row>
    <row r="77" spans="2:15" x14ac:dyDescent="0.2">
      <c r="B77" s="4" t="s">
        <v>524</v>
      </c>
      <c r="C77" s="254"/>
      <c r="D77" s="242">
        <f t="shared" ref="D77:M77" si="28">(D$8&gt;=YEAR(PhaseIRefi))*$R48</f>
        <v>0</v>
      </c>
      <c r="E77" s="242">
        <f t="shared" si="28"/>
        <v>0</v>
      </c>
      <c r="F77" s="242">
        <f t="shared" si="28"/>
        <v>0</v>
      </c>
      <c r="G77" s="242">
        <f t="shared" si="28"/>
        <v>0</v>
      </c>
      <c r="H77" s="242">
        <f t="shared" si="28"/>
        <v>0</v>
      </c>
      <c r="I77" s="242">
        <f t="shared" si="28"/>
        <v>26428327.054761406</v>
      </c>
      <c r="J77" s="242">
        <f t="shared" si="28"/>
        <v>26428327.054761406</v>
      </c>
      <c r="K77" s="242">
        <f t="shared" si="28"/>
        <v>26428327.054761406</v>
      </c>
      <c r="L77" s="242">
        <f t="shared" si="28"/>
        <v>26428327.054761406</v>
      </c>
      <c r="M77" s="247">
        <f t="shared" si="28"/>
        <v>26428327.054761406</v>
      </c>
    </row>
    <row r="78" spans="2:15" x14ac:dyDescent="0.2">
      <c r="B78" s="4" t="s">
        <v>526</v>
      </c>
      <c r="C78" s="254"/>
      <c r="D78" s="242">
        <f>-(D$8=YEAR('Assumptions-Overall'!$C$30))*$R50</f>
        <v>0</v>
      </c>
      <c r="E78" s="242">
        <f>-(E$8=YEAR('Assumptions-Overall'!$C$30))*$R50</f>
        <v>0</v>
      </c>
      <c r="F78" s="242">
        <f>-(F$8=YEAR('Assumptions-Overall'!$C$30))*$R50</f>
        <v>0</v>
      </c>
      <c r="G78" s="242">
        <f>-(G$8=YEAR('Assumptions-Overall'!$C$30))*$R50</f>
        <v>0</v>
      </c>
      <c r="H78" s="242">
        <f>-(H$8=YEAR('Assumptions-Overall'!$C$30))*$R50</f>
        <v>0</v>
      </c>
      <c r="I78" s="242">
        <f>-(I$8=YEAR('Assumptions-Overall'!$C$30))*$R50</f>
        <v>0</v>
      </c>
      <c r="J78" s="242">
        <f>-(J$8=YEAR('Assumptions-Overall'!$C$30))*$R50</f>
        <v>0</v>
      </c>
      <c r="K78" s="242">
        <f>-(K$8=YEAR('Assumptions-Overall'!$C$30))*$R50</f>
        <v>0</v>
      </c>
      <c r="L78" s="242">
        <f>-(L$8=YEAR('Assumptions-Overall'!$C$30))*$R50</f>
        <v>0</v>
      </c>
      <c r="M78" s="247">
        <f>-(M$8=YEAR('Assumptions-Overall'!$C$30))*$R50</f>
        <v>-431776973.41873205</v>
      </c>
    </row>
    <row r="79" spans="2:15" x14ac:dyDescent="0.2">
      <c r="B79" s="4"/>
      <c r="C79" s="254"/>
      <c r="D79" s="242"/>
      <c r="E79" s="242"/>
      <c r="F79" s="242"/>
      <c r="G79" s="242"/>
      <c r="H79" s="242"/>
      <c r="I79" s="242"/>
      <c r="J79" s="242"/>
      <c r="K79" s="242"/>
      <c r="L79" s="242"/>
      <c r="M79" s="247"/>
      <c r="O79" s="308"/>
    </row>
    <row r="80" spans="2:15" ht="12.75" thickBot="1" x14ac:dyDescent="0.25">
      <c r="B80" s="4" t="s">
        <v>528</v>
      </c>
      <c r="C80" s="254"/>
      <c r="D80" s="242">
        <f ca="1">D44+D48+D59+D60+D61+D67+D68+D69+D75+D76+D77+D78</f>
        <v>-10706077.210642254</v>
      </c>
      <c r="E80" s="242">
        <f t="shared" ref="E80:M80" ca="1" si="29">E44+E48+E59+E60+E61+E67+E68+E69+E75+E76+E77+E78</f>
        <v>-5585265.2088118494</v>
      </c>
      <c r="F80" s="242">
        <f t="shared" ca="1" si="29"/>
        <v>-97747736.275290221</v>
      </c>
      <c r="G80" s="242">
        <f t="shared" ca="1" si="29"/>
        <v>0</v>
      </c>
      <c r="H80" s="242">
        <f t="shared" ca="1" si="29"/>
        <v>153395930.15188974</v>
      </c>
      <c r="I80" s="242">
        <f t="shared" ca="1" si="29"/>
        <v>58142319.520475402</v>
      </c>
      <c r="J80" s="242">
        <f t="shared" ca="1" si="29"/>
        <v>59093359.354313716</v>
      </c>
      <c r="K80" s="242">
        <f t="shared" ca="1" si="29"/>
        <v>60072926.583765849</v>
      </c>
      <c r="L80" s="242">
        <f t="shared" ca="1" si="29"/>
        <v>61081876.99270618</v>
      </c>
      <c r="M80" s="247">
        <f t="shared" ca="1" si="29"/>
        <v>443626276.02024221</v>
      </c>
    </row>
    <row r="81" spans="2:18" ht="12.75" thickBot="1" x14ac:dyDescent="0.25">
      <c r="B81" s="236" t="s">
        <v>530</v>
      </c>
      <c r="C81" s="298">
        <f ca="1">IFERROR(IRR(D80:M80),"n/a")</f>
        <v>0.51727727101687915</v>
      </c>
      <c r="D81" s="242"/>
      <c r="E81" s="242"/>
      <c r="F81" s="242"/>
      <c r="G81" s="242"/>
      <c r="H81" s="242"/>
      <c r="I81" s="242"/>
      <c r="J81" s="242"/>
      <c r="K81" s="242"/>
      <c r="L81" s="242"/>
      <c r="M81" s="247"/>
      <c r="O81" s="309"/>
    </row>
    <row r="82" spans="2:18" ht="12.75" thickBot="1" x14ac:dyDescent="0.25">
      <c r="B82" s="236" t="s">
        <v>529</v>
      </c>
      <c r="C82" s="310">
        <f ca="1">-SUMIF(D80:M80,"&gt;"&amp;0)/SUMIF(D80:M80,"&lt;"&amp;0)</f>
        <v>7.3256702718512443</v>
      </c>
      <c r="D82" s="242"/>
      <c r="E82" s="242"/>
      <c r="F82" s="242"/>
      <c r="G82" s="242"/>
      <c r="H82" s="242"/>
      <c r="I82" s="242"/>
      <c r="J82" s="242"/>
      <c r="K82" s="242"/>
      <c r="L82" s="242"/>
      <c r="M82" s="247"/>
    </row>
    <row r="83" spans="2:18" ht="12.75" thickBot="1" x14ac:dyDescent="0.25">
      <c r="B83" s="250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2"/>
    </row>
    <row r="84" spans="2:18" x14ac:dyDescent="0.2">
      <c r="B84" s="243" t="s">
        <v>297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3"/>
      <c r="O84" s="419" t="s">
        <v>539</v>
      </c>
      <c r="P84" s="420"/>
      <c r="Q84" s="420"/>
      <c r="R84" s="421"/>
    </row>
    <row r="85" spans="2:18" x14ac:dyDescent="0.2">
      <c r="B85" s="4"/>
      <c r="C85" s="12"/>
      <c r="D85" s="244"/>
      <c r="E85" s="244"/>
      <c r="F85" s="244"/>
      <c r="G85" s="244"/>
      <c r="H85" s="244"/>
      <c r="I85" s="244"/>
      <c r="J85" s="244"/>
      <c r="K85" s="244"/>
      <c r="L85" s="244"/>
      <c r="M85" s="245"/>
      <c r="O85" s="243" t="s">
        <v>531</v>
      </c>
      <c r="P85" s="12"/>
      <c r="Q85" s="291"/>
      <c r="R85" s="13"/>
    </row>
    <row r="86" spans="2:18" x14ac:dyDescent="0.2">
      <c r="B86" s="53" t="s">
        <v>401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  <c r="O86" s="4"/>
      <c r="P86" s="244"/>
      <c r="Q86" s="12"/>
      <c r="R86" s="245"/>
    </row>
    <row r="87" spans="2:18" x14ac:dyDescent="0.2">
      <c r="B87" s="4" t="s">
        <v>402</v>
      </c>
      <c r="C87" s="12"/>
      <c r="D87" s="242">
        <f>'CashFlow-ResRental'!D102</f>
        <v>0</v>
      </c>
      <c r="E87" s="242">
        <f>'CashFlow-ResRental'!E102</f>
        <v>0</v>
      </c>
      <c r="F87" s="242">
        <f>'CashFlow-ResRental'!F102</f>
        <v>0</v>
      </c>
      <c r="G87" s="242">
        <f>'CashFlow-ResRental'!G102</f>
        <v>0</v>
      </c>
      <c r="H87" s="242">
        <f>'CashFlow-ResRental'!H102</f>
        <v>0</v>
      </c>
      <c r="I87" s="242">
        <f>'CashFlow-ResRental'!I102</f>
        <v>0</v>
      </c>
      <c r="J87" s="242">
        <f>'CashFlow-ResRental'!J102</f>
        <v>2032989.5193337151</v>
      </c>
      <c r="K87" s="242">
        <f>'CashFlow-ResRental'!K102</f>
        <v>2893060.7500130283</v>
      </c>
      <c r="L87" s="242">
        <f>'CashFlow-ResRental'!L102</f>
        <v>2977625.7836852348</v>
      </c>
      <c r="M87" s="247">
        <f>'CashFlow-ResRental'!M102</f>
        <v>3064683.2325910428</v>
      </c>
      <c r="O87" s="53" t="s">
        <v>489</v>
      </c>
      <c r="P87" s="191" t="s">
        <v>458</v>
      </c>
      <c r="Q87" s="292" t="s">
        <v>92</v>
      </c>
      <c r="R87" s="192" t="s">
        <v>494</v>
      </c>
    </row>
    <row r="88" spans="2:18" x14ac:dyDescent="0.2">
      <c r="B88" s="75" t="s">
        <v>70</v>
      </c>
      <c r="C88" s="12"/>
      <c r="D88" s="242">
        <f>'CashFlow-Retail'!D100</f>
        <v>0</v>
      </c>
      <c r="E88" s="242">
        <f>'CashFlow-Retail'!E100</f>
        <v>0</v>
      </c>
      <c r="F88" s="242">
        <f>'CashFlow-Retail'!F100</f>
        <v>0</v>
      </c>
      <c r="G88" s="242">
        <f>'CashFlow-Retail'!G100</f>
        <v>0</v>
      </c>
      <c r="H88" s="242">
        <f>'CashFlow-Retail'!H100</f>
        <v>0</v>
      </c>
      <c r="I88" s="242">
        <f>'CashFlow-Retail'!I100</f>
        <v>0</v>
      </c>
      <c r="J88" s="242">
        <f>'CashFlow-Retail'!J100</f>
        <v>3737526.5744038336</v>
      </c>
      <c r="K88" s="242">
        <f>'CashFlow-Retail'!K100</f>
        <v>4233400.3669685908</v>
      </c>
      <c r="L88" s="242">
        <f>'CashFlow-Retail'!L100</f>
        <v>4360402.3779776478</v>
      </c>
      <c r="M88" s="247">
        <f>'CashFlow-Retail'!M100</f>
        <v>4491214.4493169775</v>
      </c>
      <c r="O88" s="4" t="s">
        <v>93</v>
      </c>
      <c r="P88" s="297">
        <f ca="1">SUM($D$123:$M$123)*Q88</f>
        <v>113293830.32156447</v>
      </c>
      <c r="Q88" s="293">
        <f>'Assumptions-Overall'!$P$11</f>
        <v>0.19999999999999996</v>
      </c>
      <c r="R88" s="259">
        <f ca="1">P88/$P$18</f>
        <v>0.18231434611689254</v>
      </c>
    </row>
    <row r="89" spans="2:18" x14ac:dyDescent="0.2">
      <c r="B89" s="75" t="s">
        <v>35</v>
      </c>
      <c r="C89" s="12"/>
      <c r="D89" s="242">
        <f>'CashFlow-Office'!D92</f>
        <v>0</v>
      </c>
      <c r="E89" s="242">
        <f>'CashFlow-Office'!E92</f>
        <v>0</v>
      </c>
      <c r="F89" s="242">
        <f>'CashFlow-Office'!F92</f>
        <v>0</v>
      </c>
      <c r="G89" s="242">
        <f>'CashFlow-Office'!G92</f>
        <v>0</v>
      </c>
      <c r="H89" s="242">
        <f>'CashFlow-Office'!H92</f>
        <v>0</v>
      </c>
      <c r="I89" s="242">
        <f>'CashFlow-Office'!I92</f>
        <v>0</v>
      </c>
      <c r="J89" s="242">
        <f>'CashFlow-Office'!J92</f>
        <v>12436202.687848421</v>
      </c>
      <c r="K89" s="242">
        <f>'CashFlow-Office'!K92</f>
        <v>21425604.438075896</v>
      </c>
      <c r="L89" s="242">
        <f>'CashFlow-Office'!L92</f>
        <v>22068372.57121817</v>
      </c>
      <c r="M89" s="247">
        <f>'CashFlow-Office'!M92</f>
        <v>22730423.748354718</v>
      </c>
      <c r="O89" s="75" t="s">
        <v>491</v>
      </c>
      <c r="P89" s="297">
        <f ca="1">SUM(D123:M123)*Q89</f>
        <v>113293830.3215645</v>
      </c>
      <c r="Q89" s="293">
        <f>'Assumptions-Overall'!$P$10</f>
        <v>0.2</v>
      </c>
      <c r="R89" s="259">
        <f ca="1">P89/$P$18</f>
        <v>0.18231434611689259</v>
      </c>
    </row>
    <row r="90" spans="2:18" x14ac:dyDescent="0.2">
      <c r="B90" s="4" t="s">
        <v>73</v>
      </c>
      <c r="C90" s="12"/>
      <c r="D90" s="242">
        <f>'CashFlow-Hotel'!D123</f>
        <v>0</v>
      </c>
      <c r="E90" s="242">
        <f>'CashFlow-Hotel'!E123</f>
        <v>0</v>
      </c>
      <c r="F90" s="242">
        <f>'CashFlow-Hotel'!F123</f>
        <v>0</v>
      </c>
      <c r="G90" s="242">
        <f>'CashFlow-Hotel'!G123</f>
        <v>0</v>
      </c>
      <c r="H90" s="242">
        <f>'CashFlow-Hotel'!H123</f>
        <v>0</v>
      </c>
      <c r="I90" s="242">
        <f>'CashFlow-Hotel'!I123</f>
        <v>0</v>
      </c>
      <c r="J90" s="242">
        <f>'CashFlow-Hotel'!J123</f>
        <v>0</v>
      </c>
      <c r="K90" s="242">
        <f>'CashFlow-Hotel'!K123</f>
        <v>0</v>
      </c>
      <c r="L90" s="242">
        <f>'CashFlow-Hotel'!L123</f>
        <v>0</v>
      </c>
      <c r="M90" s="247">
        <f>'CashFlow-Hotel'!M123</f>
        <v>0</v>
      </c>
      <c r="O90" s="75" t="s">
        <v>492</v>
      </c>
      <c r="P90" s="297">
        <f ca="1">SUM(D123:M123)*Q90</f>
        <v>339881490.96469343</v>
      </c>
      <c r="Q90" s="293">
        <f>'Assumptions-Overall'!$P$9</f>
        <v>0.6</v>
      </c>
      <c r="R90" s="259">
        <f ca="1">P90/$P$18</f>
        <v>0.5469430383506777</v>
      </c>
    </row>
    <row r="91" spans="2:18" x14ac:dyDescent="0.2">
      <c r="B91" s="75" t="s">
        <v>403</v>
      </c>
      <c r="C91" s="12"/>
      <c r="D91" s="240">
        <f>'CashFlow-Parking'!D49</f>
        <v>0</v>
      </c>
      <c r="E91" s="240">
        <f>'CashFlow-Parking'!E49</f>
        <v>0</v>
      </c>
      <c r="F91" s="240">
        <f>'CashFlow-Parking'!F49</f>
        <v>0</v>
      </c>
      <c r="G91" s="240">
        <f>'CashFlow-Parking'!G49</f>
        <v>0</v>
      </c>
      <c r="H91" s="240">
        <f>'CashFlow-Parking'!H49</f>
        <v>0</v>
      </c>
      <c r="I91" s="240">
        <f>'CashFlow-Parking'!I49</f>
        <v>0</v>
      </c>
      <c r="J91" s="240">
        <f>'CashFlow-Parking'!J49</f>
        <v>180723.80563982026</v>
      </c>
      <c r="K91" s="240">
        <f>'CashFlow-Parking'!K49</f>
        <v>182531.04369621843</v>
      </c>
      <c r="L91" s="240">
        <f>'CashFlow-Parking'!L49</f>
        <v>176153.71458804797</v>
      </c>
      <c r="M91" s="248">
        <f>'CashFlow-Parking'!M49</f>
        <v>177915.25173392845</v>
      </c>
      <c r="O91" s="75" t="s">
        <v>504</v>
      </c>
      <c r="P91" s="240">
        <f>SUMIF(D$8:M$8,"&lt;"&amp;YEAR(PhaseIIComplete),D110:M111)</f>
        <v>28314028.263266899</v>
      </c>
      <c r="Q91" s="293" t="s">
        <v>11</v>
      </c>
      <c r="R91" s="294">
        <f ca="1">P91/$P$18</f>
        <v>4.5563412712776544E-2</v>
      </c>
    </row>
    <row r="92" spans="2:18" x14ac:dyDescent="0.2">
      <c r="B92" s="4" t="s">
        <v>404</v>
      </c>
      <c r="C92" s="12"/>
      <c r="D92" s="242">
        <f>SUM(D87:D91)</f>
        <v>0</v>
      </c>
      <c r="E92" s="242">
        <f t="shared" ref="E92:M92" si="30">SUM(E87:E91)</f>
        <v>0</v>
      </c>
      <c r="F92" s="242">
        <f t="shared" si="30"/>
        <v>0</v>
      </c>
      <c r="G92" s="242">
        <f t="shared" si="30"/>
        <v>0</v>
      </c>
      <c r="H92" s="242">
        <f t="shared" si="30"/>
        <v>0</v>
      </c>
      <c r="I92" s="242">
        <f t="shared" si="30"/>
        <v>0</v>
      </c>
      <c r="J92" s="242">
        <f t="shared" si="30"/>
        <v>18387442.587225791</v>
      </c>
      <c r="K92" s="242">
        <f t="shared" si="30"/>
        <v>28734596.598753732</v>
      </c>
      <c r="L92" s="242">
        <f t="shared" si="30"/>
        <v>29582554.447469104</v>
      </c>
      <c r="M92" s="247">
        <f t="shared" si="30"/>
        <v>30464236.681996666</v>
      </c>
      <c r="O92" s="4" t="s">
        <v>493</v>
      </c>
      <c r="P92" s="242">
        <f ca="1">SUM(P88:P91)</f>
        <v>594783179.87108934</v>
      </c>
      <c r="Q92" s="12"/>
      <c r="R92" s="259">
        <f ca="1">P92/$P$18</f>
        <v>0.95713514329723937</v>
      </c>
    </row>
    <row r="93" spans="2:18" x14ac:dyDescent="0.2">
      <c r="B93" s="4"/>
      <c r="C93" s="12"/>
      <c r="D93" s="242"/>
      <c r="E93" s="242"/>
      <c r="F93" s="242"/>
      <c r="G93" s="242"/>
      <c r="H93" s="242"/>
      <c r="I93" s="242"/>
      <c r="J93" s="242"/>
      <c r="K93" s="242"/>
      <c r="L93" s="242"/>
      <c r="M93" s="247"/>
      <c r="O93" s="4"/>
      <c r="P93" s="242"/>
      <c r="Q93" s="12"/>
      <c r="R93" s="247"/>
    </row>
    <row r="94" spans="2:18" x14ac:dyDescent="0.2">
      <c r="B94" s="4" t="s">
        <v>409</v>
      </c>
      <c r="C94" s="12"/>
      <c r="D94" s="242">
        <f t="shared" ref="D94:M94" si="31">-(D$8=YEAR(PhaseIIConBegin))*LandPhaseII</f>
        <v>0</v>
      </c>
      <c r="E94" s="242">
        <f t="shared" si="31"/>
        <v>0</v>
      </c>
      <c r="F94" s="242">
        <f t="shared" si="31"/>
        <v>0</v>
      </c>
      <c r="G94" s="242">
        <f t="shared" si="31"/>
        <v>0</v>
      </c>
      <c r="H94" s="242">
        <f t="shared" si="31"/>
        <v>-25650000</v>
      </c>
      <c r="I94" s="242">
        <f t="shared" si="31"/>
        <v>0</v>
      </c>
      <c r="J94" s="242">
        <f t="shared" si="31"/>
        <v>0</v>
      </c>
      <c r="K94" s="242">
        <f t="shared" si="31"/>
        <v>0</v>
      </c>
      <c r="L94" s="242">
        <f t="shared" si="31"/>
        <v>0</v>
      </c>
      <c r="M94" s="247">
        <f t="shared" si="31"/>
        <v>0</v>
      </c>
      <c r="O94" s="53" t="s">
        <v>490</v>
      </c>
      <c r="P94" s="191" t="s">
        <v>458</v>
      </c>
      <c r="Q94" s="292"/>
      <c r="R94" s="192" t="s">
        <v>494</v>
      </c>
    </row>
    <row r="95" spans="2:18" x14ac:dyDescent="0.2">
      <c r="B95" s="4"/>
      <c r="C95" s="12"/>
      <c r="D95" s="242"/>
      <c r="E95" s="242"/>
      <c r="F95" s="242"/>
      <c r="G95" s="242"/>
      <c r="H95" s="242"/>
      <c r="I95" s="242"/>
      <c r="J95" s="242"/>
      <c r="K95" s="242"/>
      <c r="L95" s="242"/>
      <c r="M95" s="247"/>
      <c r="O95" s="4" t="s">
        <v>409</v>
      </c>
      <c r="P95" s="242">
        <f>-SUM(D94:M94)</f>
        <v>25650000</v>
      </c>
      <c r="Q95" s="12"/>
      <c r="R95" s="259">
        <f t="shared" ref="R95:R104" ca="1" si="32">P95/$P$30</f>
        <v>4.1276413416558216E-2</v>
      </c>
    </row>
    <row r="96" spans="2:18" x14ac:dyDescent="0.2">
      <c r="B96" s="53" t="s">
        <v>209</v>
      </c>
      <c r="C96" s="12"/>
      <c r="D96" s="242"/>
      <c r="E96" s="242"/>
      <c r="F96" s="242"/>
      <c r="G96" s="242"/>
      <c r="H96" s="242"/>
      <c r="I96" s="242"/>
      <c r="J96" s="242"/>
      <c r="K96" s="242"/>
      <c r="L96" s="242"/>
      <c r="M96" s="247"/>
      <c r="O96" s="4" t="str">
        <f t="shared" ref="O96:O102" si="33">B97&amp;" Construction Costs"</f>
        <v>Residential Apartments Construction Costs</v>
      </c>
      <c r="P96" s="242">
        <f t="shared" ref="P96:P102" si="34">-SUM(D97:M97)</f>
        <v>66726575.870579168</v>
      </c>
      <c r="Q96" s="12"/>
      <c r="R96" s="259">
        <f t="shared" ca="1" si="32"/>
        <v>0.10737753339202198</v>
      </c>
    </row>
    <row r="97" spans="2:18" x14ac:dyDescent="0.2">
      <c r="B97" s="4" t="s">
        <v>402</v>
      </c>
      <c r="C97" s="12"/>
      <c r="D97" s="242">
        <f>'CashFlow-ResRental'!D109</f>
        <v>0</v>
      </c>
      <c r="E97" s="242">
        <f>'CashFlow-ResRental'!E109</f>
        <v>0</v>
      </c>
      <c r="F97" s="242">
        <f>'CashFlow-ResRental'!F109</f>
        <v>-2895161.3497565342</v>
      </c>
      <c r="G97" s="242">
        <f>'CashFlow-ResRental'!G109</f>
        <v>-2895161.3497565342</v>
      </c>
      <c r="H97" s="242">
        <f>'CashFlow-ResRental'!H109</f>
        <v>-30060644.340669356</v>
      </c>
      <c r="I97" s="242">
        <f>'CashFlow-ResRental'!I109</f>
        <v>-30875608.830396742</v>
      </c>
      <c r="J97" s="242">
        <f>'CashFlow-ResRental'!J109</f>
        <v>0</v>
      </c>
      <c r="K97" s="242">
        <f>'CashFlow-ResRental'!K109</f>
        <v>0</v>
      </c>
      <c r="L97" s="242">
        <f>'CashFlow-ResRental'!L109</f>
        <v>0</v>
      </c>
      <c r="M97" s="247">
        <f>'CashFlow-ResRental'!M109</f>
        <v>0</v>
      </c>
      <c r="O97" s="4" t="str">
        <f t="shared" si="33"/>
        <v>Residential Condos Construction Costs</v>
      </c>
      <c r="P97" s="242">
        <f t="shared" si="34"/>
        <v>85834210.8133246</v>
      </c>
      <c r="Q97" s="12"/>
      <c r="R97" s="259">
        <f t="shared" ca="1" si="32"/>
        <v>0.13812586240993363</v>
      </c>
    </row>
    <row r="98" spans="2:18" x14ac:dyDescent="0.2">
      <c r="B98" s="4" t="s">
        <v>405</v>
      </c>
      <c r="C98" s="12"/>
      <c r="D98" s="242">
        <f>'CashFlow-ResCondo'!D65</f>
        <v>0</v>
      </c>
      <c r="E98" s="242">
        <f>'CashFlow-ResCondo'!E65</f>
        <v>0</v>
      </c>
      <c r="F98" s="242">
        <f>'CashFlow-ResCondo'!F65</f>
        <v>-3724211.6261979672</v>
      </c>
      <c r="G98" s="242">
        <f>'CashFlow-ResCondo'!G65</f>
        <v>-3724211.6261979672</v>
      </c>
      <c r="H98" s="242">
        <f>'CashFlow-ResCondo'!H65</f>
        <v>-38668726.063898817</v>
      </c>
      <c r="I98" s="242">
        <f>'CashFlow-ResCondo'!I65</f>
        <v>-39717061.497029841</v>
      </c>
      <c r="J98" s="242">
        <f>'CashFlow-ResCondo'!J65</f>
        <v>0</v>
      </c>
      <c r="K98" s="242">
        <f>'CashFlow-ResCondo'!K65</f>
        <v>0</v>
      </c>
      <c r="L98" s="242">
        <f>'CashFlow-ResCondo'!L65</f>
        <v>0</v>
      </c>
      <c r="M98" s="247">
        <f>'CashFlow-ResCondo'!M65</f>
        <v>0</v>
      </c>
      <c r="O98" s="4" t="str">
        <f t="shared" si="33"/>
        <v>Retail Construction Costs</v>
      </c>
      <c r="P98" s="242">
        <f t="shared" si="34"/>
        <v>49228177.433645606</v>
      </c>
      <c r="Q98" s="12"/>
      <c r="R98" s="259">
        <f t="shared" ca="1" si="32"/>
        <v>7.9218814951065808E-2</v>
      </c>
    </row>
    <row r="99" spans="2:18" x14ac:dyDescent="0.2">
      <c r="B99" s="4" t="s">
        <v>70</v>
      </c>
      <c r="C99" s="12"/>
      <c r="D99" s="242">
        <f>'CashFlow-Retail'!D107</f>
        <v>0</v>
      </c>
      <c r="E99" s="242">
        <f>'CashFlow-Retail'!E107</f>
        <v>0</v>
      </c>
      <c r="F99" s="242">
        <f>'CashFlow-Retail'!F107</f>
        <v>-2135933.3184019788</v>
      </c>
      <c r="G99" s="242">
        <f>'CashFlow-Retail'!G107</f>
        <v>-2135933.3184019788</v>
      </c>
      <c r="H99" s="242">
        <f>'CashFlow-Retail'!H107</f>
        <v>-22401204.958322022</v>
      </c>
      <c r="I99" s="242">
        <f>'CashFlow-Retail'!I107</f>
        <v>-22555105.838519622</v>
      </c>
      <c r="J99" s="242">
        <f>'CashFlow-Retail'!J107</f>
        <v>0</v>
      </c>
      <c r="K99" s="242">
        <f>'CashFlow-Retail'!K107</f>
        <v>0</v>
      </c>
      <c r="L99" s="242">
        <f>'CashFlow-Retail'!L107</f>
        <v>0</v>
      </c>
      <c r="M99" s="247">
        <f>'CashFlow-Retail'!M107</f>
        <v>0</v>
      </c>
      <c r="O99" s="4" t="str">
        <f t="shared" si="33"/>
        <v>Office Construction Costs</v>
      </c>
      <c r="P99" s="242">
        <f t="shared" si="34"/>
        <v>251931064.51512462</v>
      </c>
      <c r="Q99" s="12"/>
      <c r="R99" s="259">
        <f t="shared" ca="1" si="32"/>
        <v>0.40541172598050229</v>
      </c>
    </row>
    <row r="100" spans="2:18" x14ac:dyDescent="0.2">
      <c r="B100" s="4" t="s">
        <v>35</v>
      </c>
      <c r="C100" s="12"/>
      <c r="D100" s="242">
        <f>'CashFlow-Office'!D99</f>
        <v>0</v>
      </c>
      <c r="E100" s="242">
        <f>'CashFlow-Office'!E99</f>
        <v>0</v>
      </c>
      <c r="F100" s="242">
        <f>'CashFlow-Office'!F99</f>
        <v>-10930893.295077721</v>
      </c>
      <c r="G100" s="242">
        <f>'CashFlow-Office'!G99</f>
        <v>-10930893.295077721</v>
      </c>
      <c r="H100" s="242">
        <f>'CashFlow-Office'!H99</f>
        <v>-113496159.96247365</v>
      </c>
      <c r="I100" s="242">
        <f>'CashFlow-Office'!I99</f>
        <v>-116573117.96249552</v>
      </c>
      <c r="J100" s="242">
        <f>'CashFlow-Office'!J99</f>
        <v>0</v>
      </c>
      <c r="K100" s="242">
        <f>'CashFlow-Office'!K99</f>
        <v>0</v>
      </c>
      <c r="L100" s="242">
        <f>'CashFlow-Office'!L99</f>
        <v>0</v>
      </c>
      <c r="M100" s="247">
        <f>'CashFlow-Office'!M99</f>
        <v>0</v>
      </c>
      <c r="O100" s="4" t="str">
        <f t="shared" si="33"/>
        <v>Hotel Construction Costs</v>
      </c>
      <c r="P100" s="242">
        <f t="shared" si="34"/>
        <v>0</v>
      </c>
      <c r="Q100" s="12"/>
      <c r="R100" s="259">
        <f t="shared" ca="1" si="32"/>
        <v>0</v>
      </c>
    </row>
    <row r="101" spans="2:18" x14ac:dyDescent="0.2">
      <c r="B101" s="4" t="s">
        <v>73</v>
      </c>
      <c r="C101" s="12"/>
      <c r="D101" s="242">
        <f>'CashFlow-Hotel'!D130</f>
        <v>0</v>
      </c>
      <c r="E101" s="242">
        <f>'CashFlow-Hotel'!E130</f>
        <v>0</v>
      </c>
      <c r="F101" s="242">
        <f>'CashFlow-Hotel'!F130</f>
        <v>0</v>
      </c>
      <c r="G101" s="242">
        <f>'CashFlow-Hotel'!G130</f>
        <v>0</v>
      </c>
      <c r="H101" s="242">
        <f>'CashFlow-Hotel'!H130</f>
        <v>0</v>
      </c>
      <c r="I101" s="242">
        <f>'CashFlow-Hotel'!I130</f>
        <v>0</v>
      </c>
      <c r="J101" s="242">
        <f>'CashFlow-Hotel'!J130</f>
        <v>0</v>
      </c>
      <c r="K101" s="242">
        <f>'CashFlow-Hotel'!K130</f>
        <v>0</v>
      </c>
      <c r="L101" s="242">
        <f>'CashFlow-Hotel'!L130</f>
        <v>0</v>
      </c>
      <c r="M101" s="247">
        <f>'CashFlow-Hotel'!M130</f>
        <v>0</v>
      </c>
      <c r="O101" s="4" t="str">
        <f t="shared" si="33"/>
        <v>Parking Construction Costs</v>
      </c>
      <c r="P101" s="242">
        <f t="shared" si="34"/>
        <v>67696345.298280075</v>
      </c>
      <c r="Q101" s="12"/>
      <c r="R101" s="259">
        <f t="shared" ca="1" si="32"/>
        <v>0.10893810274159398</v>
      </c>
    </row>
    <row r="102" spans="2:18" x14ac:dyDescent="0.2">
      <c r="B102" s="4" t="s">
        <v>403</v>
      </c>
      <c r="C102" s="12"/>
      <c r="D102" s="242">
        <f>'CashFlow-Parking'!D56</f>
        <v>0</v>
      </c>
      <c r="E102" s="242">
        <f>'CashFlow-Parking'!E56</f>
        <v>0</v>
      </c>
      <c r="F102" s="242">
        <f>'CashFlow-Parking'!F56</f>
        <v>-2937238.122446036</v>
      </c>
      <c r="G102" s="242">
        <f>'CashFlow-Parking'!G56</f>
        <v>-2937238.122446036</v>
      </c>
      <c r="H102" s="242">
        <f>'CashFlow-Parking'!H56</f>
        <v>-30497530.146335658</v>
      </c>
      <c r="I102" s="242">
        <f>'CashFlow-Parking'!I56</f>
        <v>-31324338.907052346</v>
      </c>
      <c r="J102" s="242">
        <f>'CashFlow-Parking'!J56</f>
        <v>0</v>
      </c>
      <c r="K102" s="242">
        <f>'CashFlow-Parking'!K56</f>
        <v>0</v>
      </c>
      <c r="L102" s="242">
        <f>'CashFlow-Parking'!L56</f>
        <v>0</v>
      </c>
      <c r="M102" s="247">
        <f>'CashFlow-Parking'!M56</f>
        <v>0</v>
      </c>
      <c r="O102" s="4" t="str">
        <f t="shared" si="33"/>
        <v>Infrastructure Construction Costs</v>
      </c>
      <c r="P102" s="242">
        <f t="shared" si="34"/>
        <v>43185052.727272727</v>
      </c>
      <c r="Q102" s="12"/>
      <c r="R102" s="259">
        <f t="shared" ca="1" si="32"/>
        <v>6.9494116560887872E-2</v>
      </c>
    </row>
    <row r="103" spans="2:18" x14ac:dyDescent="0.2">
      <c r="B103" s="75" t="s">
        <v>406</v>
      </c>
      <c r="C103" s="12"/>
      <c r="D103" s="240">
        <f>-(AND(D$8&gt;=YEAR(PhaseIIConBegin),D$8&lt;=YEAR(PhaseIIConEnd)))*'Assumptions-Land&amp;Infrastructure'!$M$25/(YEAR(PhaseIIConEnd)-YEAR(PhaseIIConBegin)+1)</f>
        <v>0</v>
      </c>
      <c r="E103" s="240">
        <f>-(AND(E$8&gt;=YEAR(PhaseIIConBegin),E$8&lt;=YEAR(PhaseIIConEnd)))*'Assumptions-Land&amp;Infrastructure'!$M$25/(YEAR(PhaseIIConEnd)-YEAR(PhaseIIConBegin)+1)</f>
        <v>0</v>
      </c>
      <c r="F103" s="240">
        <f>-(AND(F$8&gt;=YEAR(PhaseIIConBegin),F$8&lt;=YEAR(PhaseIIConEnd)))*'Assumptions-Land&amp;Infrastructure'!$M$25/(YEAR(PhaseIIConEnd)-YEAR(PhaseIIConBegin)+1)</f>
        <v>0</v>
      </c>
      <c r="G103" s="240">
        <f>-(AND(G$8&gt;=YEAR(PhaseIIConBegin),G$8&lt;=YEAR(PhaseIIConEnd)))*'Assumptions-Land&amp;Infrastructure'!$M$25/(YEAR(PhaseIIConEnd)-YEAR(PhaseIIConBegin)+1)</f>
        <v>0</v>
      </c>
      <c r="H103" s="240">
        <f>-(AND(H$8&gt;=YEAR(PhaseIIConBegin),H$8&lt;=YEAR(PhaseIIConEnd)))*'Assumptions-Land&amp;Infrastructure'!$M$25/(YEAR(PhaseIIConEnd)-YEAR(PhaseIIConBegin)+1)</f>
        <v>-21592526.363636363</v>
      </c>
      <c r="I103" s="240">
        <f>-(AND(I$8&gt;=YEAR(PhaseIIConBegin),I$8&lt;=YEAR(PhaseIIConEnd)))*'Assumptions-Land&amp;Infrastructure'!$M$25/(YEAR(PhaseIIConEnd)-YEAR(PhaseIIConBegin)+1)</f>
        <v>-21592526.363636363</v>
      </c>
      <c r="J103" s="240">
        <f>-(AND(J$8&gt;=YEAR(PhaseIIConBegin),J$8&lt;=YEAR(PhaseIIConEnd)))*'Assumptions-Land&amp;Infrastructure'!$M$25/(YEAR(PhaseIIConEnd)-YEAR(PhaseIIConBegin)+1)</f>
        <v>0</v>
      </c>
      <c r="K103" s="240">
        <f>-(AND(K$8&gt;=YEAR(PhaseIIConBegin),K$8&lt;=YEAR(PhaseIIConEnd)))*'Assumptions-Land&amp;Infrastructure'!$M$25/(YEAR(PhaseIIConEnd)-YEAR(PhaseIIConBegin)+1)</f>
        <v>0</v>
      </c>
      <c r="L103" s="240">
        <f>-(AND(L$8&gt;=YEAR(PhaseIIConBegin),L$8&lt;=YEAR(PhaseIIConEnd)))*'Assumptions-Land&amp;Infrastructure'!$M$25/(YEAR(PhaseIIConEnd)-YEAR(PhaseIIConBegin)+1)</f>
        <v>0</v>
      </c>
      <c r="M103" s="248">
        <f>-(AND(M$8&gt;=YEAR(PhaseIIConBegin),M$8&lt;=YEAR(PhaseIIConEnd)))*'Assumptions-Land&amp;Infrastructure'!$M$25/(YEAR(PhaseIIConEnd)-YEAR(PhaseIIConBegin)+1)</f>
        <v>0</v>
      </c>
      <c r="O103" s="4" t="s">
        <v>495</v>
      </c>
      <c r="P103" s="240">
        <f ca="1">P89*'Assumptions-Overall'!$P$24+'Assumptions-Overall'!$P$23*'CashFlow-Combined'!P90</f>
        <v>4531753.2128625792</v>
      </c>
      <c r="Q103" s="12"/>
      <c r="R103" s="294">
        <f t="shared" ca="1" si="32"/>
        <v>7.2925738446757019E-3</v>
      </c>
    </row>
    <row r="104" spans="2:18" ht="12.75" thickBot="1" x14ac:dyDescent="0.25">
      <c r="B104" s="4" t="s">
        <v>313</v>
      </c>
      <c r="C104" s="12"/>
      <c r="D104" s="242">
        <f>SUM(D97:D103)</f>
        <v>0</v>
      </c>
      <c r="E104" s="242">
        <f t="shared" ref="E104" si="35">SUM(E97:E103)</f>
        <v>0</v>
      </c>
      <c r="F104" s="242">
        <f t="shared" ref="F104" si="36">SUM(F97:F103)</f>
        <v>-22623437.711880237</v>
      </c>
      <c r="G104" s="242">
        <f t="shared" ref="G104" si="37">SUM(G97:G103)</f>
        <v>-22623437.711880237</v>
      </c>
      <c r="H104" s="242">
        <f t="shared" ref="H104" si="38">SUM(H97:H103)</f>
        <v>-256716791.83533585</v>
      </c>
      <c r="I104" s="242">
        <f t="shared" ref="I104" si="39">SUM(I97:I103)</f>
        <v>-262637759.39913043</v>
      </c>
      <c r="J104" s="242">
        <f t="shared" ref="J104" si="40">SUM(J97:J103)</f>
        <v>0</v>
      </c>
      <c r="K104" s="242">
        <f t="shared" ref="K104" si="41">SUM(K97:K103)</f>
        <v>0</v>
      </c>
      <c r="L104" s="242">
        <f t="shared" ref="L104" si="42">SUM(L97:L103)</f>
        <v>0</v>
      </c>
      <c r="M104" s="247">
        <f t="shared" ref="M104" si="43">SUM(M97:M103)</f>
        <v>0</v>
      </c>
      <c r="O104" s="6" t="s">
        <v>496</v>
      </c>
      <c r="P104" s="295">
        <f ca="1">SUM(P95:P103)</f>
        <v>594783179.87108946</v>
      </c>
      <c r="Q104" s="15"/>
      <c r="R104" s="296">
        <f t="shared" ca="1" si="32"/>
        <v>0.95713514329723959</v>
      </c>
    </row>
    <row r="105" spans="2:18" x14ac:dyDescent="0.2">
      <c r="B105" s="4"/>
      <c r="C105" s="12"/>
      <c r="D105" s="242"/>
      <c r="E105" s="242"/>
      <c r="F105" s="242"/>
      <c r="G105" s="242"/>
      <c r="H105" s="211"/>
      <c r="I105" s="242"/>
      <c r="J105" s="242"/>
      <c r="K105" s="242"/>
      <c r="L105" s="242"/>
      <c r="M105" s="247"/>
      <c r="O105" s="243" t="s">
        <v>532</v>
      </c>
      <c r="P105" s="12"/>
      <c r="Q105" s="12"/>
      <c r="R105" s="13"/>
    </row>
    <row r="106" spans="2:18" x14ac:dyDescent="0.2">
      <c r="B106" s="4" t="s">
        <v>319</v>
      </c>
      <c r="C106" s="12"/>
      <c r="D106" s="242">
        <f>'CashFlow-ResRental'!D111</f>
        <v>0</v>
      </c>
      <c r="E106" s="242">
        <f>'CashFlow-ResRental'!E111</f>
        <v>0</v>
      </c>
      <c r="F106" s="242">
        <f>'CashFlow-ResRental'!F111</f>
        <v>0</v>
      </c>
      <c r="G106" s="242">
        <f>'CashFlow-ResRental'!G111</f>
        <v>0</v>
      </c>
      <c r="H106" s="242">
        <f>'CashFlow-ResRental'!H111</f>
        <v>0</v>
      </c>
      <c r="I106" s="242">
        <f>'CashFlow-ResRental'!I111</f>
        <v>0</v>
      </c>
      <c r="J106" s="242">
        <f>'CashFlow-ResRental'!J111</f>
        <v>3600000</v>
      </c>
      <c r="K106" s="242">
        <f>'CashFlow-ResRental'!K111</f>
        <v>0</v>
      </c>
      <c r="L106" s="242">
        <f>'CashFlow-ResRental'!L111</f>
        <v>0</v>
      </c>
      <c r="M106" s="247">
        <f>'CashFlow-ResRental'!M111</f>
        <v>0</v>
      </c>
      <c r="O106" s="4"/>
      <c r="P106" s="301" t="s">
        <v>512</v>
      </c>
      <c r="Q106" s="189"/>
      <c r="R106" s="302" t="s">
        <v>514</v>
      </c>
    </row>
    <row r="107" spans="2:18" x14ac:dyDescent="0.2">
      <c r="B107" s="4"/>
      <c r="C107" s="12"/>
      <c r="D107" s="242"/>
      <c r="E107" s="242"/>
      <c r="F107" s="242"/>
      <c r="G107" s="242"/>
      <c r="H107" s="211"/>
      <c r="I107" s="242"/>
      <c r="J107" s="242"/>
      <c r="K107" s="242"/>
      <c r="L107" s="242"/>
      <c r="M107" s="247"/>
      <c r="O107" s="53" t="s">
        <v>186</v>
      </c>
      <c r="P107" s="191" t="s">
        <v>513</v>
      </c>
      <c r="Q107" s="191" t="s">
        <v>510</v>
      </c>
      <c r="R107" s="192" t="s">
        <v>511</v>
      </c>
    </row>
    <row r="108" spans="2:18" x14ac:dyDescent="0.2">
      <c r="B108" s="53" t="s">
        <v>480</v>
      </c>
      <c r="C108" s="1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7"/>
      <c r="O108" s="4" t="str">
        <f t="shared" ref="O108:O113" si="44">B87</f>
        <v>Residential Apartments</v>
      </c>
      <c r="P108" s="242">
        <f>SUMIF(D$8:M$8,YEAR(PhaseIIRefi),D87:M87)</f>
        <v>2893060.7500130283</v>
      </c>
      <c r="Q108" s="300">
        <f>'Assumptions-Overall'!$Y$9</f>
        <v>3.7500000000000006E-2</v>
      </c>
      <c r="R108" s="303">
        <f>P108/Q108</f>
        <v>77148286.667014077</v>
      </c>
    </row>
    <row r="109" spans="2:18" x14ac:dyDescent="0.2">
      <c r="B109" s="4" t="s">
        <v>402</v>
      </c>
      <c r="C109" s="12"/>
      <c r="D109" s="242">
        <f>'CashFlow-ResRental'!D116</f>
        <v>0</v>
      </c>
      <c r="E109" s="242">
        <f>'CashFlow-ResRental'!E116</f>
        <v>0</v>
      </c>
      <c r="F109" s="242">
        <f>'CashFlow-ResRental'!F116</f>
        <v>0</v>
      </c>
      <c r="G109" s="242">
        <f>'CashFlow-ResRental'!G116</f>
        <v>0</v>
      </c>
      <c r="H109" s="242">
        <f>'CashFlow-ResRental'!H116</f>
        <v>0</v>
      </c>
      <c r="I109" s="242">
        <f>'CashFlow-ResRental'!I116</f>
        <v>0</v>
      </c>
      <c r="J109" s="242">
        <f>'CashFlow-ResRental'!J116</f>
        <v>0</v>
      </c>
      <c r="K109" s="242">
        <f>'CashFlow-ResRental'!K116</f>
        <v>0</v>
      </c>
      <c r="L109" s="242">
        <f>'CashFlow-ResRental'!L116</f>
        <v>0</v>
      </c>
      <c r="M109" s="247">
        <f>'CashFlow-ResRental'!M116</f>
        <v>84742551.077626929</v>
      </c>
      <c r="O109" s="4" t="str">
        <f t="shared" si="44"/>
        <v>Retail</v>
      </c>
      <c r="P109" s="242">
        <f>SUMIF(D$8:M$8,YEAR(PhaseIIRefi),D88:M88)</f>
        <v>4233400.3669685908</v>
      </c>
      <c r="Q109" s="300">
        <f>'Assumptions-Overall'!$Y$13</f>
        <v>4.5000000000000005E-2</v>
      </c>
      <c r="R109" s="303">
        <f t="shared" ref="R109:R112" si="45">P109/Q109</f>
        <v>94075563.710413113</v>
      </c>
    </row>
    <row r="110" spans="2:18" x14ac:dyDescent="0.2">
      <c r="B110" s="4" t="s">
        <v>405</v>
      </c>
      <c r="C110" s="12"/>
      <c r="D110" s="242">
        <f>'CashFlow-ResCondo'!D72</f>
        <v>0</v>
      </c>
      <c r="E110" s="242">
        <f>'CashFlow-ResCondo'!E72</f>
        <v>0</v>
      </c>
      <c r="F110" s="242">
        <f>'CashFlow-ResCondo'!F72</f>
        <v>10303969.938208109</v>
      </c>
      <c r="G110" s="242">
        <f>'CashFlow-ResCondo'!G72</f>
        <v>10613089.036354354</v>
      </c>
      <c r="H110" s="242">
        <f>'CashFlow-ResCondo'!H72</f>
        <v>3643827.2358149942</v>
      </c>
      <c r="I110" s="242">
        <f>'CashFlow-ResCondo'!I72</f>
        <v>3753142.0528894435</v>
      </c>
      <c r="J110" s="242">
        <f>'CashFlow-ResCondo'!J72</f>
        <v>113256113.05306761</v>
      </c>
      <c r="K110" s="242">
        <f>'CashFlow-ResCondo'!K72</f>
        <v>0</v>
      </c>
      <c r="L110" s="242">
        <f>'CashFlow-ResCondo'!L72</f>
        <v>0</v>
      </c>
      <c r="M110" s="247">
        <f>'CashFlow-ResCondo'!M72</f>
        <v>0</v>
      </c>
      <c r="O110" s="4" t="str">
        <f t="shared" si="44"/>
        <v>Office</v>
      </c>
      <c r="P110" s="242">
        <f>SUMIF(D$8:M$8,YEAR(PhaseIIRefi),D89:M89)</f>
        <v>21425604.438075896</v>
      </c>
      <c r="Q110" s="300">
        <f>'Assumptions-Overall'!$Y$18</f>
        <v>4.5000000000000005E-2</v>
      </c>
      <c r="R110" s="303">
        <f t="shared" si="45"/>
        <v>476124543.06835318</v>
      </c>
    </row>
    <row r="111" spans="2:18" x14ac:dyDescent="0.2">
      <c r="B111" s="4" t="s">
        <v>488</v>
      </c>
      <c r="C111" s="12"/>
      <c r="D111" s="242">
        <f>'CashFlow-Parking'!D61</f>
        <v>0</v>
      </c>
      <c r="E111" s="242">
        <f>'CashFlow-Parking'!E61</f>
        <v>0</v>
      </c>
      <c r="F111" s="242">
        <f>'CashFlow-Parking'!F61</f>
        <v>0</v>
      </c>
      <c r="G111" s="242">
        <f>'CashFlow-Parking'!G61</f>
        <v>0</v>
      </c>
      <c r="H111" s="242">
        <f>'CashFlow-Parking'!H61</f>
        <v>0</v>
      </c>
      <c r="I111" s="242">
        <f>'CashFlow-Parking'!I61</f>
        <v>0</v>
      </c>
      <c r="J111" s="242">
        <f>'CashFlow-Parking'!J61</f>
        <v>4118698.1843318804</v>
      </c>
      <c r="K111" s="242">
        <f>'CashFlow-Parking'!K61</f>
        <v>0</v>
      </c>
      <c r="L111" s="242">
        <f>'CashFlow-Parking'!L61</f>
        <v>2121749.4290076606</v>
      </c>
      <c r="M111" s="247">
        <f>'CashFlow-Parking'!M61</f>
        <v>0</v>
      </c>
      <c r="O111" s="4" t="str">
        <f t="shared" si="44"/>
        <v>Hotel</v>
      </c>
      <c r="P111" s="242">
        <f>SUMIF(D$8:M$8,YEAR(PhaseIIRefi),D90:M90)</f>
        <v>0</v>
      </c>
      <c r="Q111" s="300">
        <f>'Assumptions-Overall'!$Y$22</f>
        <v>6.25E-2</v>
      </c>
      <c r="R111" s="303">
        <f t="shared" si="45"/>
        <v>0</v>
      </c>
    </row>
    <row r="112" spans="2:18" x14ac:dyDescent="0.2">
      <c r="B112" s="4" t="s">
        <v>70</v>
      </c>
      <c r="C112" s="12"/>
      <c r="D112" s="242">
        <f>'CashFlow-Retail'!D112</f>
        <v>0</v>
      </c>
      <c r="E112" s="242">
        <f>'CashFlow-Retail'!E112</f>
        <v>0</v>
      </c>
      <c r="F112" s="242">
        <f>'CashFlow-Retail'!F112</f>
        <v>0</v>
      </c>
      <c r="G112" s="242">
        <f>'CashFlow-Retail'!G112</f>
        <v>0</v>
      </c>
      <c r="H112" s="242">
        <f>'CashFlow-Retail'!H112</f>
        <v>0</v>
      </c>
      <c r="I112" s="242">
        <f>'CashFlow-Retail'!I112</f>
        <v>0</v>
      </c>
      <c r="J112" s="242">
        <f>'CashFlow-Retail'!J112</f>
        <v>0</v>
      </c>
      <c r="K112" s="242">
        <f>'CashFlow-Retail'!K112</f>
        <v>0</v>
      </c>
      <c r="L112" s="242">
        <f>'CashFlow-Retail'!L112</f>
        <v>0</v>
      </c>
      <c r="M112" s="247">
        <f>'CashFlow-Retail'!M112</f>
        <v>102319300.73714821</v>
      </c>
      <c r="O112" s="4" t="str">
        <f t="shared" si="44"/>
        <v>Parking</v>
      </c>
      <c r="P112" s="240">
        <f>SUMIF(D$8:M$8,YEAR(PhaseIIRefi),D91:M91)</f>
        <v>182531.04369621843</v>
      </c>
      <c r="Q112" s="300">
        <v>0.05</v>
      </c>
      <c r="R112" s="304">
        <f t="shared" si="45"/>
        <v>3650620.8739243685</v>
      </c>
    </row>
    <row r="113" spans="2:18" x14ac:dyDescent="0.2">
      <c r="B113" s="4" t="s">
        <v>35</v>
      </c>
      <c r="C113" s="12"/>
      <c r="D113" s="242">
        <f>'CashFlow-Office'!D104</f>
        <v>0</v>
      </c>
      <c r="E113" s="242">
        <f>'CashFlow-Office'!E104</f>
        <v>0</v>
      </c>
      <c r="F113" s="242">
        <f>'CashFlow-Office'!F104</f>
        <v>0</v>
      </c>
      <c r="G113" s="242">
        <f>'CashFlow-Office'!G104</f>
        <v>0</v>
      </c>
      <c r="H113" s="242">
        <f>'CashFlow-Office'!H104</f>
        <v>0</v>
      </c>
      <c r="I113" s="242">
        <f>'CashFlow-Office'!I104</f>
        <v>0</v>
      </c>
      <c r="J113" s="242">
        <f>'CashFlow-Office'!J104</f>
        <v>0</v>
      </c>
      <c r="K113" s="242">
        <f>'CashFlow-Office'!K104</f>
        <v>0</v>
      </c>
      <c r="L113" s="242">
        <f>'CashFlow-Office'!L104</f>
        <v>0</v>
      </c>
      <c r="M113" s="247">
        <f>'CashFlow-Office'!M104</f>
        <v>518060919.3955074</v>
      </c>
      <c r="O113" s="4" t="str">
        <f t="shared" si="44"/>
        <v>Total Cash Flow from Operations</v>
      </c>
      <c r="P113" s="242">
        <f t="shared" ref="P113" si="46">SUM(P108:P112)</f>
        <v>28734596.598753732</v>
      </c>
      <c r="Q113" s="12"/>
      <c r="R113" s="303">
        <f>SUM(R108:R112)</f>
        <v>650999014.31970477</v>
      </c>
    </row>
    <row r="114" spans="2:18" x14ac:dyDescent="0.2">
      <c r="B114" s="4" t="s">
        <v>73</v>
      </c>
      <c r="C114" s="12"/>
      <c r="D114" s="242">
        <f>'CashFlow-Hotel'!D135</f>
        <v>0</v>
      </c>
      <c r="E114" s="242">
        <f>'CashFlow-Hotel'!E135</f>
        <v>0</v>
      </c>
      <c r="F114" s="242">
        <f>'CashFlow-Hotel'!F135</f>
        <v>0</v>
      </c>
      <c r="G114" s="242">
        <f>'CashFlow-Hotel'!G135</f>
        <v>0</v>
      </c>
      <c r="H114" s="242">
        <f>'CashFlow-Hotel'!H135</f>
        <v>0</v>
      </c>
      <c r="I114" s="242">
        <f>'CashFlow-Hotel'!I135</f>
        <v>0</v>
      </c>
      <c r="J114" s="242">
        <f>'CashFlow-Hotel'!J135</f>
        <v>0</v>
      </c>
      <c r="K114" s="242">
        <f>'CashFlow-Hotel'!K135</f>
        <v>0</v>
      </c>
      <c r="L114" s="242">
        <f>'CashFlow-Hotel'!L135</f>
        <v>0</v>
      </c>
      <c r="M114" s="247">
        <f>'CashFlow-Hotel'!M135</f>
        <v>0</v>
      </c>
      <c r="O114" s="4"/>
      <c r="P114" s="242"/>
      <c r="Q114" s="12"/>
      <c r="R114" s="247"/>
    </row>
    <row r="115" spans="2:18" x14ac:dyDescent="0.2">
      <c r="B115" s="4" t="s">
        <v>403</v>
      </c>
      <c r="C115" s="12"/>
      <c r="D115" s="240">
        <f>'CashFlow-Parking'!D66</f>
        <v>0</v>
      </c>
      <c r="E115" s="240">
        <f>'CashFlow-Parking'!E66</f>
        <v>0</v>
      </c>
      <c r="F115" s="240">
        <f>'CashFlow-Parking'!F66</f>
        <v>0</v>
      </c>
      <c r="G115" s="240">
        <f>'CashFlow-Parking'!G66</f>
        <v>0</v>
      </c>
      <c r="H115" s="240">
        <f>'CashFlow-Parking'!H66</f>
        <v>0</v>
      </c>
      <c r="I115" s="240">
        <f>'CashFlow-Parking'!I66</f>
        <v>0</v>
      </c>
      <c r="J115" s="240">
        <f>'CashFlow-Parking'!J66</f>
        <v>0</v>
      </c>
      <c r="K115" s="240">
        <f>'CashFlow-Parking'!K66</f>
        <v>0</v>
      </c>
      <c r="L115" s="240">
        <f>'CashFlow-Parking'!L66</f>
        <v>0</v>
      </c>
      <c r="M115" s="248">
        <f>'CashFlow-Parking'!M66</f>
        <v>3557949.2041751007</v>
      </c>
      <c r="O115" s="4" t="s">
        <v>515</v>
      </c>
      <c r="P115" s="34"/>
      <c r="Q115" s="12"/>
      <c r="R115" s="305">
        <f>'Assumptions-Overall'!$R$9</f>
        <v>0.65</v>
      </c>
    </row>
    <row r="116" spans="2:18" x14ac:dyDescent="0.2">
      <c r="B116" s="4" t="s">
        <v>481</v>
      </c>
      <c r="C116" s="12"/>
      <c r="D116" s="242">
        <f>SUM(D109:D115)</f>
        <v>0</v>
      </c>
      <c r="E116" s="242">
        <f t="shared" ref="E116:M116" si="47">SUM(E109:E115)</f>
        <v>0</v>
      </c>
      <c r="F116" s="242">
        <f t="shared" si="47"/>
        <v>10303969.938208109</v>
      </c>
      <c r="G116" s="242">
        <f t="shared" si="47"/>
        <v>10613089.036354354</v>
      </c>
      <c r="H116" s="242">
        <f t="shared" si="47"/>
        <v>3643827.2358149942</v>
      </c>
      <c r="I116" s="242">
        <f t="shared" si="47"/>
        <v>3753142.0528894435</v>
      </c>
      <c r="J116" s="242">
        <f t="shared" si="47"/>
        <v>117374811.23739949</v>
      </c>
      <c r="K116" s="242">
        <f t="shared" si="47"/>
        <v>0</v>
      </c>
      <c r="L116" s="242">
        <f t="shared" si="47"/>
        <v>2121749.4290076606</v>
      </c>
      <c r="M116" s="247">
        <f t="shared" si="47"/>
        <v>708680720.41445768</v>
      </c>
      <c r="O116" s="4" t="s">
        <v>516</v>
      </c>
      <c r="P116" s="34"/>
      <c r="Q116" s="12"/>
      <c r="R116" s="303">
        <f>R113*R115</f>
        <v>423149359.3078081</v>
      </c>
    </row>
    <row r="117" spans="2:18" x14ac:dyDescent="0.2">
      <c r="B117" s="4"/>
      <c r="C117" s="1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7"/>
      <c r="O117" s="4"/>
      <c r="P117" s="242"/>
      <c r="Q117" s="12"/>
      <c r="R117" s="303"/>
    </row>
    <row r="118" spans="2:18" ht="12.75" thickBot="1" x14ac:dyDescent="0.25">
      <c r="B118" s="4" t="s">
        <v>315</v>
      </c>
      <c r="C118" s="12"/>
      <c r="D118" s="242">
        <f>D92+D94+D104+D106+D116</f>
        <v>0</v>
      </c>
      <c r="E118" s="242">
        <f t="shared" ref="E118:M118" si="48">E92+E94+E104+E106+E116</f>
        <v>0</v>
      </c>
      <c r="F118" s="242">
        <f t="shared" si="48"/>
        <v>-12319467.773672128</v>
      </c>
      <c r="G118" s="242">
        <f t="shared" si="48"/>
        <v>-12010348.675525883</v>
      </c>
      <c r="H118" s="242">
        <f t="shared" si="48"/>
        <v>-278722964.59952086</v>
      </c>
      <c r="I118" s="242">
        <f t="shared" si="48"/>
        <v>-258884617.346241</v>
      </c>
      <c r="J118" s="242">
        <f t="shared" si="48"/>
        <v>139362253.82462528</v>
      </c>
      <c r="K118" s="242">
        <f t="shared" si="48"/>
        <v>28734596.598753732</v>
      </c>
      <c r="L118" s="242">
        <f t="shared" si="48"/>
        <v>31704303.876476765</v>
      </c>
      <c r="M118" s="247">
        <f t="shared" si="48"/>
        <v>739144957.09645438</v>
      </c>
      <c r="O118" s="4" t="s">
        <v>519</v>
      </c>
      <c r="P118" s="242"/>
      <c r="Q118" s="12"/>
      <c r="R118" s="306">
        <f>'Assumptions-Overall'!$R$19</f>
        <v>1.2</v>
      </c>
    </row>
    <row r="119" spans="2:18" ht="12.75" thickBot="1" x14ac:dyDescent="0.25">
      <c r="B119" s="236" t="s">
        <v>320</v>
      </c>
      <c r="C119" s="298">
        <f>IFERROR(IRR(D118:M118),"n/a")</f>
        <v>0.13662626163554026</v>
      </c>
      <c r="D119" s="242"/>
      <c r="E119" s="242"/>
      <c r="F119" s="242"/>
      <c r="G119" s="242"/>
      <c r="H119" s="242"/>
      <c r="I119" s="242"/>
      <c r="J119" s="242"/>
      <c r="K119" s="242"/>
      <c r="L119" s="242"/>
      <c r="M119" s="247"/>
      <c r="O119" s="4" t="s">
        <v>520</v>
      </c>
      <c r="P119" s="242"/>
      <c r="Q119" s="12"/>
      <c r="R119" s="303">
        <f>-PV('Assumptions-Overall'!$R$15/12,'Assumptions-Overall'!$R$27*12,'CashFlow-Combined'!P113/12/'CashFlow-Combined'!R118,0)</f>
        <v>393825922.80431092</v>
      </c>
    </row>
    <row r="120" spans="2:18" x14ac:dyDescent="0.2">
      <c r="B120" s="4"/>
      <c r="C120" s="254"/>
      <c r="D120" s="242"/>
      <c r="E120" s="242"/>
      <c r="F120" s="242"/>
      <c r="G120" s="242"/>
      <c r="H120" s="242"/>
      <c r="I120" s="242"/>
      <c r="J120" s="242"/>
      <c r="K120" s="242"/>
      <c r="L120" s="242"/>
      <c r="M120" s="247"/>
      <c r="O120" s="4"/>
      <c r="P120" s="242"/>
      <c r="Q120" s="12"/>
      <c r="R120" s="303"/>
    </row>
    <row r="121" spans="2:18" x14ac:dyDescent="0.2">
      <c r="B121" s="53" t="s">
        <v>91</v>
      </c>
      <c r="C121" s="254"/>
      <c r="D121" s="242"/>
      <c r="E121" s="242"/>
      <c r="F121" s="242"/>
      <c r="G121" s="242"/>
      <c r="H121" s="242"/>
      <c r="I121" s="242"/>
      <c r="J121" s="242"/>
      <c r="K121" s="242"/>
      <c r="L121" s="242"/>
      <c r="M121" s="247"/>
      <c r="O121" s="4" t="s">
        <v>521</v>
      </c>
      <c r="P121" s="242"/>
      <c r="Q121" s="12"/>
      <c r="R121" s="303">
        <f>MIN(R116,R119)</f>
        <v>393825922.80431092</v>
      </c>
    </row>
    <row r="122" spans="2:18" x14ac:dyDescent="0.2">
      <c r="B122" s="4" t="s">
        <v>503</v>
      </c>
      <c r="C122" s="254"/>
      <c r="D122" s="242">
        <f t="shared" ref="D122:M122" ca="1" si="49">-(D$8=YEAR(PhaseIIPreconBegin))*$P103</f>
        <v>0</v>
      </c>
      <c r="E122" s="242">
        <f t="shared" ca="1" si="49"/>
        <v>0</v>
      </c>
      <c r="F122" s="242">
        <f t="shared" ca="1" si="49"/>
        <v>-4531753.2128625792</v>
      </c>
      <c r="G122" s="242">
        <f t="shared" ca="1" si="49"/>
        <v>0</v>
      </c>
      <c r="H122" s="242">
        <f t="shared" ca="1" si="49"/>
        <v>0</v>
      </c>
      <c r="I122" s="242">
        <f t="shared" ca="1" si="49"/>
        <v>0</v>
      </c>
      <c r="J122" s="242">
        <f t="shared" ca="1" si="49"/>
        <v>0</v>
      </c>
      <c r="K122" s="242">
        <f t="shared" ca="1" si="49"/>
        <v>0</v>
      </c>
      <c r="L122" s="242">
        <f t="shared" ca="1" si="49"/>
        <v>0</v>
      </c>
      <c r="M122" s="247">
        <f t="shared" ca="1" si="49"/>
        <v>0</v>
      </c>
      <c r="O122" s="4" t="s">
        <v>522</v>
      </c>
      <c r="P122" s="242"/>
      <c r="Q122" s="12"/>
      <c r="R122" s="303">
        <f>PMT('Assumptions-Overall'!$R$15/12,'Assumptions-Overall'!$R$27*12,-'CashFlow-Combined'!R121,0)*12</f>
        <v>23945497.165627878</v>
      </c>
    </row>
    <row r="123" spans="2:18" x14ac:dyDescent="0.2">
      <c r="B123" s="4" t="s">
        <v>499</v>
      </c>
      <c r="C123" s="254"/>
      <c r="D123" s="242">
        <f ca="1">MAX(-D118-D122,0)</f>
        <v>0</v>
      </c>
      <c r="E123" s="242">
        <f t="shared" ref="E123" ca="1" si="50">MAX(-E118-E122,0)</f>
        <v>0</v>
      </c>
      <c r="F123" s="242">
        <f t="shared" ref="F123" ca="1" si="51">MAX(-F118-F122,0)</f>
        <v>16851220.986534707</v>
      </c>
      <c r="G123" s="242">
        <f t="shared" ref="G123" ca="1" si="52">MAX(-G118-G122,0)</f>
        <v>12010348.675525883</v>
      </c>
      <c r="H123" s="242">
        <f t="shared" ref="H123" ca="1" si="53">MAX(-H118-H122,0)</f>
        <v>278722964.59952086</v>
      </c>
      <c r="I123" s="242">
        <f t="shared" ref="I123" ca="1" si="54">MAX(-I118-I122,0)</f>
        <v>258884617.346241</v>
      </c>
      <c r="J123" s="242">
        <f t="shared" ref="J123" ca="1" si="55">MAX(-J118-J122,0)</f>
        <v>0</v>
      </c>
      <c r="K123" s="242">
        <f t="shared" ref="K123" ca="1" si="56">MAX(-K118-K122,0)</f>
        <v>0</v>
      </c>
      <c r="L123" s="242">
        <f t="shared" ref="L123" ca="1" si="57">MAX(-L118-L122,0)</f>
        <v>0</v>
      </c>
      <c r="M123" s="247">
        <f t="shared" ref="M123" ca="1" si="58">MAX(-M118-M122,0)</f>
        <v>0</v>
      </c>
      <c r="O123" s="4" t="s">
        <v>523</v>
      </c>
      <c r="P123" s="12"/>
      <c r="Q123" s="12"/>
      <c r="R123" s="247">
        <f>R121*'Assumptions-Overall'!$R$23</f>
        <v>3938259.2280431092</v>
      </c>
    </row>
    <row r="124" spans="2:18" ht="12.75" thickBot="1" x14ac:dyDescent="0.25">
      <c r="B124" s="4" t="s">
        <v>500</v>
      </c>
      <c r="C124" s="254"/>
      <c r="D124" s="242">
        <f ca="1">+IF(SUM($C124:C124)&lt;$P88,MIN(D123,$P88-SUM($C124:C124)),0)</f>
        <v>0</v>
      </c>
      <c r="E124" s="242">
        <f ca="1">+IF(SUM($C124:D124)&lt;$P88,MIN(E123,$P88-SUM($C124:D124)),0)</f>
        <v>0</v>
      </c>
      <c r="F124" s="242">
        <f ca="1">+IF(SUM($C124:E124)&lt;$P88,MIN(F123,$P88-SUM($C124:E124)),0)</f>
        <v>16851220.986534707</v>
      </c>
      <c r="G124" s="242">
        <f ca="1">+IF(SUM($C124:F124)&lt;$P88,MIN(G123,$P88-SUM($C124:F124)),0)</f>
        <v>12010348.675525883</v>
      </c>
      <c r="H124" s="242">
        <f ca="1">+IF(SUM($C124:G124)&lt;$P88,MIN(H123,$P88-SUM($C124:G124)),0)</f>
        <v>84432260.659503877</v>
      </c>
      <c r="I124" s="242">
        <f ca="1">+IF(SUM($C124:H124)&lt;$P88,MIN(I123,$P88-SUM($C124:H124)),0)</f>
        <v>0</v>
      </c>
      <c r="J124" s="242">
        <f ca="1">+IF(SUM($C124:I124)&lt;$P88,MIN(J123,$P88-SUM($C124:I124)),0)</f>
        <v>0</v>
      </c>
      <c r="K124" s="242">
        <f ca="1">+IF(SUM($C124:J124)&lt;$P88,MIN(K123,$P88-SUM($C124:J124)),0)</f>
        <v>0</v>
      </c>
      <c r="L124" s="242">
        <f ca="1">+IF(SUM($C124:K124)&lt;$P88,MIN(L123,$P88-SUM($C124:K124)),0)</f>
        <v>0</v>
      </c>
      <c r="M124" s="247">
        <f ca="1">+IF(SUM($C124:L124)&lt;$P88,MIN(M123,$P88-SUM($C124:L124)),0)</f>
        <v>0</v>
      </c>
      <c r="O124" s="6" t="s">
        <v>525</v>
      </c>
      <c r="P124" s="15"/>
      <c r="Q124" s="15"/>
      <c r="R124" s="307">
        <f>-PV('Assumptions-Overall'!$R$15/12,'Assumptions-Overall'!$R$27*12-(YEAR('Assumptions-Overall'!$C$30)-YEAR(PhaseIIRefi)+1),'CashFlow-Combined'!R122/12,0)</f>
        <v>392264248.47900856</v>
      </c>
    </row>
    <row r="125" spans="2:18" x14ac:dyDescent="0.2">
      <c r="B125" s="4" t="s">
        <v>501</v>
      </c>
      <c r="C125" s="254"/>
      <c r="D125" s="242">
        <f ca="1">+IF(SUM($C125:C125)&lt;$P89,MIN(D123-D124,$P89-SUM($C125:C125)),0)</f>
        <v>0</v>
      </c>
      <c r="E125" s="242">
        <f ca="1">+IF(SUM($C125:D125)&lt;$P89,MIN(E123-E124,$P89-SUM($C125:D125)),0)</f>
        <v>0</v>
      </c>
      <c r="F125" s="242">
        <f ca="1">+IF(SUM($C125:E125)&lt;$P89,MIN(F123-F124,$P89-SUM($C125:E125)),0)</f>
        <v>0</v>
      </c>
      <c r="G125" s="242">
        <f ca="1">+IF(SUM($C125:F125)&lt;$P89,MIN(G123-G124,$P89-SUM($C125:F125)),0)</f>
        <v>0</v>
      </c>
      <c r="H125" s="242">
        <f ca="1">+IF(SUM($C125:G125)&lt;$P89,MIN(H123-H124,$P89-SUM($C125:G125)),0)</f>
        <v>113293830.3215645</v>
      </c>
      <c r="I125" s="242">
        <f ca="1">+IF(SUM($C125:H125)&lt;$P89,MIN(I123-I124,$P89-SUM($C125:H125)),0)</f>
        <v>0</v>
      </c>
      <c r="J125" s="242">
        <f ca="1">+IF(SUM($C125:I125)&lt;$P89,MIN(J123-J124,$P89-SUM($C125:I125)),0)</f>
        <v>0</v>
      </c>
      <c r="K125" s="242">
        <f ca="1">+IF(SUM($C125:J125)&lt;$P89,MIN(K123-K124,$P89-SUM($C125:J125)),0)</f>
        <v>0</v>
      </c>
      <c r="L125" s="242">
        <f ca="1">+IF(SUM($C125:K125)&lt;$P89,MIN(L123-L124,$P89-SUM($C125:K125)),0)</f>
        <v>0</v>
      </c>
      <c r="M125" s="247">
        <f ca="1">+IF(SUM($C125:L125)&lt;$P89,MIN(M123-M124,$P89-SUM($C125:L125)),0)</f>
        <v>0</v>
      </c>
    </row>
    <row r="126" spans="2:18" x14ac:dyDescent="0.2">
      <c r="B126" s="4" t="s">
        <v>502</v>
      </c>
      <c r="C126" s="254"/>
      <c r="D126" s="242">
        <f t="shared" ref="D126:M126" ca="1" si="59">D123-D124-D125</f>
        <v>0</v>
      </c>
      <c r="E126" s="242">
        <f t="shared" ca="1" si="59"/>
        <v>0</v>
      </c>
      <c r="F126" s="242">
        <f t="shared" ca="1" si="59"/>
        <v>0</v>
      </c>
      <c r="G126" s="242">
        <f t="shared" ca="1" si="59"/>
        <v>0</v>
      </c>
      <c r="H126" s="242">
        <f t="shared" ca="1" si="59"/>
        <v>80996873.618452489</v>
      </c>
      <c r="I126" s="242">
        <f t="shared" ca="1" si="59"/>
        <v>258884617.346241</v>
      </c>
      <c r="J126" s="242">
        <f t="shared" ca="1" si="59"/>
        <v>0</v>
      </c>
      <c r="K126" s="242">
        <f t="shared" ca="1" si="59"/>
        <v>0</v>
      </c>
      <c r="L126" s="242">
        <f t="shared" ca="1" si="59"/>
        <v>0</v>
      </c>
      <c r="M126" s="247">
        <f t="shared" ca="1" si="59"/>
        <v>0</v>
      </c>
    </row>
    <row r="127" spans="2:18" x14ac:dyDescent="0.2">
      <c r="B127" s="4"/>
      <c r="C127" s="254"/>
      <c r="D127" s="242"/>
      <c r="E127" s="242"/>
      <c r="F127" s="242"/>
      <c r="G127" s="242"/>
      <c r="H127" s="242"/>
      <c r="I127" s="242"/>
      <c r="J127" s="242"/>
      <c r="K127" s="242"/>
      <c r="L127" s="242"/>
      <c r="M127" s="247"/>
    </row>
    <row r="128" spans="2:18" x14ac:dyDescent="0.2">
      <c r="B128" s="4" t="s">
        <v>517</v>
      </c>
      <c r="C128" s="254"/>
      <c r="D128" s="242">
        <f t="shared" ref="D128:M128" si="60">(D$8&gt;=YEAR(PhaseIIComplete))*SUM(D110:D111)</f>
        <v>0</v>
      </c>
      <c r="E128" s="242">
        <f t="shared" si="60"/>
        <v>0</v>
      </c>
      <c r="F128" s="242">
        <f t="shared" si="60"/>
        <v>0</v>
      </c>
      <c r="G128" s="242">
        <f t="shared" si="60"/>
        <v>0</v>
      </c>
      <c r="H128" s="242">
        <f t="shared" si="60"/>
        <v>0</v>
      </c>
      <c r="I128" s="242">
        <f t="shared" si="60"/>
        <v>0</v>
      </c>
      <c r="J128" s="242">
        <f t="shared" si="60"/>
        <v>117374811.23739949</v>
      </c>
      <c r="K128" s="242">
        <f t="shared" si="60"/>
        <v>0</v>
      </c>
      <c r="L128" s="242">
        <f t="shared" si="60"/>
        <v>2121749.4290076606</v>
      </c>
      <c r="M128" s="247">
        <f t="shared" si="60"/>
        <v>0</v>
      </c>
    </row>
    <row r="129" spans="2:13" x14ac:dyDescent="0.2">
      <c r="B129" s="4"/>
      <c r="C129" s="254"/>
      <c r="D129" s="242"/>
      <c r="E129" s="242"/>
      <c r="F129" s="242"/>
      <c r="G129" s="242"/>
      <c r="H129" s="242"/>
      <c r="I129" s="242"/>
      <c r="J129" s="242"/>
      <c r="K129" s="242"/>
      <c r="L129" s="242"/>
      <c r="M129" s="247"/>
    </row>
    <row r="130" spans="2:13" x14ac:dyDescent="0.2">
      <c r="B130" s="299" t="s">
        <v>94</v>
      </c>
      <c r="C130" s="254"/>
      <c r="D130" s="242"/>
      <c r="E130" s="242"/>
      <c r="F130" s="242"/>
      <c r="G130" s="242"/>
      <c r="H130" s="242"/>
      <c r="I130" s="242"/>
      <c r="J130" s="242"/>
      <c r="K130" s="242"/>
      <c r="L130" s="242"/>
      <c r="M130" s="247"/>
    </row>
    <row r="131" spans="2:13" x14ac:dyDescent="0.2">
      <c r="B131" s="4" t="s">
        <v>505</v>
      </c>
      <c r="C131" s="254"/>
      <c r="D131" s="242">
        <f>C136</f>
        <v>0</v>
      </c>
      <c r="E131" s="242">
        <f t="shared" ref="E131:M131" ca="1" si="61">D136</f>
        <v>0</v>
      </c>
      <c r="F131" s="242">
        <f t="shared" ca="1" si="61"/>
        <v>0</v>
      </c>
      <c r="G131" s="242">
        <f t="shared" ca="1" si="61"/>
        <v>0</v>
      </c>
      <c r="H131" s="242">
        <f t="shared" ca="1" si="61"/>
        <v>0</v>
      </c>
      <c r="I131" s="242">
        <f t="shared" ca="1" si="61"/>
        <v>80996873.618452489</v>
      </c>
      <c r="J131" s="242">
        <f t="shared" ca="1" si="61"/>
        <v>344025444.74150044</v>
      </c>
      <c r="K131" s="242">
        <f t="shared" ca="1" si="61"/>
        <v>0</v>
      </c>
      <c r="L131" s="242">
        <f t="shared" ca="1" si="61"/>
        <v>0</v>
      </c>
      <c r="M131" s="247">
        <f t="shared" ca="1" si="61"/>
        <v>0</v>
      </c>
    </row>
    <row r="132" spans="2:13" x14ac:dyDescent="0.2">
      <c r="B132" s="4" t="s">
        <v>506</v>
      </c>
      <c r="C132" s="254"/>
      <c r="D132" s="242">
        <f>D131*(((1+'Assumptions-Overall'!$P$15/12)^12)-1)</f>
        <v>0</v>
      </c>
      <c r="E132" s="242">
        <f ca="1">E131*(((1+'Assumptions-Overall'!$P$15/12)^12)-1)</f>
        <v>0</v>
      </c>
      <c r="F132" s="242">
        <f ca="1">F131*(((1+'Assumptions-Overall'!$P$15/12)^12)-1)</f>
        <v>0</v>
      </c>
      <c r="G132" s="242">
        <f ca="1">G131*(((1+'Assumptions-Overall'!$P$15/12)^12)-1)</f>
        <v>0</v>
      </c>
      <c r="H132" s="242">
        <f ca="1">H131*(((1+'Assumptions-Overall'!$P$15/12)^12)-1)</f>
        <v>0</v>
      </c>
      <c r="I132" s="242">
        <f ca="1">I131*(((1+'Assumptions-Overall'!$P$15/12)^12)-1)</f>
        <v>4143953.7768069338</v>
      </c>
      <c r="J132" s="242">
        <f ca="1">J131*(((1+'Assumptions-Overall'!$P$15/12)^12)-1)</f>
        <v>17600994.67258257</v>
      </c>
      <c r="K132" s="242">
        <f ca="1">K131*(((1+'Assumptions-Overall'!$P$15/12)^12)-1)</f>
        <v>0</v>
      </c>
      <c r="L132" s="242">
        <f ca="1">L131*(((1+'Assumptions-Overall'!$P$15/12)^12)-1)</f>
        <v>0</v>
      </c>
      <c r="M132" s="247">
        <f ca="1">M131*(((1+'Assumptions-Overall'!$P$15/12)^12)-1)</f>
        <v>0</v>
      </c>
    </row>
    <row r="133" spans="2:13" x14ac:dyDescent="0.2">
      <c r="B133" s="4" t="s">
        <v>507</v>
      </c>
      <c r="C133" s="254"/>
      <c r="D133" s="242">
        <f ca="1">D126</f>
        <v>0</v>
      </c>
      <c r="E133" s="242">
        <f t="shared" ref="E133:M133" ca="1" si="62">E126</f>
        <v>0</v>
      </c>
      <c r="F133" s="242">
        <f t="shared" ca="1" si="62"/>
        <v>0</v>
      </c>
      <c r="G133" s="242">
        <f t="shared" ca="1" si="62"/>
        <v>0</v>
      </c>
      <c r="H133" s="242">
        <f t="shared" ca="1" si="62"/>
        <v>80996873.618452489</v>
      </c>
      <c r="I133" s="242">
        <f t="shared" ca="1" si="62"/>
        <v>258884617.346241</v>
      </c>
      <c r="J133" s="242">
        <f t="shared" ca="1" si="62"/>
        <v>0</v>
      </c>
      <c r="K133" s="242">
        <f t="shared" ca="1" si="62"/>
        <v>0</v>
      </c>
      <c r="L133" s="242">
        <f t="shared" ca="1" si="62"/>
        <v>0</v>
      </c>
      <c r="M133" s="247">
        <f t="shared" ca="1" si="62"/>
        <v>0</v>
      </c>
    </row>
    <row r="134" spans="2:13" x14ac:dyDescent="0.2">
      <c r="B134" s="4" t="s">
        <v>518</v>
      </c>
      <c r="C134" s="254"/>
      <c r="D134" s="242">
        <f>-(D131&lt;&gt;0)*D128*$Q90/SUM($Q89:$Q90)</f>
        <v>0</v>
      </c>
      <c r="E134" s="242">
        <f t="shared" ref="E134:M134" ca="1" si="63">-(E131&lt;&gt;0)*E128*$Q90/SUM($Q89:$Q90)</f>
        <v>0</v>
      </c>
      <c r="F134" s="242">
        <f t="shared" ca="1" si="63"/>
        <v>0</v>
      </c>
      <c r="G134" s="242">
        <f t="shared" ca="1" si="63"/>
        <v>0</v>
      </c>
      <c r="H134" s="242">
        <f t="shared" ca="1" si="63"/>
        <v>0</v>
      </c>
      <c r="I134" s="242">
        <f t="shared" ca="1" si="63"/>
        <v>0</v>
      </c>
      <c r="J134" s="242">
        <f t="shared" ca="1" si="63"/>
        <v>-88031108.428049609</v>
      </c>
      <c r="K134" s="242">
        <f t="shared" ca="1" si="63"/>
        <v>0</v>
      </c>
      <c r="L134" s="242">
        <f t="shared" ca="1" si="63"/>
        <v>0</v>
      </c>
      <c r="M134" s="247">
        <f t="shared" ca="1" si="63"/>
        <v>0</v>
      </c>
    </row>
    <row r="135" spans="2:13" x14ac:dyDescent="0.2">
      <c r="B135" s="4" t="s">
        <v>509</v>
      </c>
      <c r="C135" s="254"/>
      <c r="D135" s="242">
        <f t="shared" ref="D135:M135" ca="1" si="64">-(D$8=YEAR(PhaseIIRefi-1))*SUM(D131:D134)</f>
        <v>0</v>
      </c>
      <c r="E135" s="242">
        <f t="shared" ca="1" si="64"/>
        <v>0</v>
      </c>
      <c r="F135" s="242">
        <f t="shared" ca="1" si="64"/>
        <v>0</v>
      </c>
      <c r="G135" s="242">
        <f t="shared" ca="1" si="64"/>
        <v>0</v>
      </c>
      <c r="H135" s="242">
        <f t="shared" ca="1" si="64"/>
        <v>0</v>
      </c>
      <c r="I135" s="242">
        <f t="shared" ca="1" si="64"/>
        <v>0</v>
      </c>
      <c r="J135" s="242">
        <f t="shared" ca="1" si="64"/>
        <v>-273595330.98603338</v>
      </c>
      <c r="K135" s="242">
        <f t="shared" ca="1" si="64"/>
        <v>0</v>
      </c>
      <c r="L135" s="242">
        <f t="shared" ca="1" si="64"/>
        <v>0</v>
      </c>
      <c r="M135" s="247">
        <f t="shared" ca="1" si="64"/>
        <v>0</v>
      </c>
    </row>
    <row r="136" spans="2:13" x14ac:dyDescent="0.2">
      <c r="B136" s="4" t="s">
        <v>508</v>
      </c>
      <c r="C136" s="254"/>
      <c r="D136" s="242">
        <f ca="1">SUM(D131:D135)</f>
        <v>0</v>
      </c>
      <c r="E136" s="242">
        <f t="shared" ref="E136" ca="1" si="65">SUM(E131:E135)</f>
        <v>0</v>
      </c>
      <c r="F136" s="242">
        <f t="shared" ref="F136" ca="1" si="66">SUM(F131:F135)</f>
        <v>0</v>
      </c>
      <c r="G136" s="242">
        <f t="shared" ref="G136" ca="1" si="67">SUM(G131:G135)</f>
        <v>0</v>
      </c>
      <c r="H136" s="242">
        <f t="shared" ref="H136" ca="1" si="68">SUM(H131:H135)</f>
        <v>80996873.618452489</v>
      </c>
      <c r="I136" s="242">
        <f t="shared" ref="I136" ca="1" si="69">SUM(I131:I135)</f>
        <v>344025444.74150044</v>
      </c>
      <c r="J136" s="242">
        <f t="shared" ref="J136" ca="1" si="70">SUM(J131:J135)</f>
        <v>0</v>
      </c>
      <c r="K136" s="242">
        <f t="shared" ref="K136" ca="1" si="71">SUM(K131:K135)</f>
        <v>0</v>
      </c>
      <c r="L136" s="242">
        <f t="shared" ref="L136" ca="1" si="72">SUM(L131:L135)</f>
        <v>0</v>
      </c>
      <c r="M136" s="247">
        <f t="shared" ref="M136" ca="1" si="73">SUM(M131:M135)</f>
        <v>0</v>
      </c>
    </row>
    <row r="137" spans="2:13" x14ac:dyDescent="0.2">
      <c r="B137" s="4"/>
      <c r="C137" s="254"/>
      <c r="D137" s="242"/>
      <c r="E137" s="242"/>
      <c r="F137" s="242"/>
      <c r="G137" s="242"/>
      <c r="H137" s="242"/>
      <c r="I137" s="242"/>
      <c r="J137" s="242"/>
      <c r="K137" s="242"/>
      <c r="L137" s="242"/>
      <c r="M137" s="247"/>
    </row>
    <row r="138" spans="2:13" x14ac:dyDescent="0.2">
      <c r="B138" s="299" t="s">
        <v>95</v>
      </c>
      <c r="C138" s="254"/>
      <c r="D138" s="242"/>
      <c r="E138" s="242"/>
      <c r="F138" s="242"/>
      <c r="G138" s="242"/>
      <c r="H138" s="242"/>
      <c r="I138" s="242"/>
      <c r="J138" s="242"/>
      <c r="K138" s="242"/>
      <c r="L138" s="242"/>
      <c r="M138" s="247"/>
    </row>
    <row r="139" spans="2:13" x14ac:dyDescent="0.2">
      <c r="B139" s="4" t="s">
        <v>505</v>
      </c>
      <c r="C139" s="254"/>
      <c r="D139" s="242">
        <f>C144</f>
        <v>0</v>
      </c>
      <c r="E139" s="242">
        <f t="shared" ref="E139:M139" ca="1" si="74">D144</f>
        <v>0</v>
      </c>
      <c r="F139" s="242">
        <f t="shared" ca="1" si="74"/>
        <v>0</v>
      </c>
      <c r="G139" s="242">
        <f t="shared" ca="1" si="74"/>
        <v>0</v>
      </c>
      <c r="H139" s="242">
        <f t="shared" ca="1" si="74"/>
        <v>0</v>
      </c>
      <c r="I139" s="242">
        <f t="shared" ca="1" si="74"/>
        <v>113293830.3215645</v>
      </c>
      <c r="J139" s="242">
        <f t="shared" ca="1" si="74"/>
        <v>127662323.76586318</v>
      </c>
      <c r="K139" s="242">
        <f t="shared" ca="1" si="74"/>
        <v>0</v>
      </c>
      <c r="L139" s="242">
        <f t="shared" ca="1" si="74"/>
        <v>0</v>
      </c>
      <c r="M139" s="247">
        <f t="shared" ca="1" si="74"/>
        <v>0</v>
      </c>
    </row>
    <row r="140" spans="2:13" x14ac:dyDescent="0.2">
      <c r="B140" s="4" t="s">
        <v>506</v>
      </c>
      <c r="C140" s="254"/>
      <c r="D140" s="242">
        <f>D139*(((1+'Assumptions-Overall'!$P$16/12)^12)-1)</f>
        <v>0</v>
      </c>
      <c r="E140" s="242">
        <f ca="1">E139*(((1+'Assumptions-Overall'!$P$16/12)^12)-1)</f>
        <v>0</v>
      </c>
      <c r="F140" s="242">
        <f ca="1">F139*(((1+'Assumptions-Overall'!$P$16/12)^12)-1)</f>
        <v>0</v>
      </c>
      <c r="G140" s="242">
        <f ca="1">G139*(((1+'Assumptions-Overall'!$P$16/12)^12)-1)</f>
        <v>0</v>
      </c>
      <c r="H140" s="242">
        <f ca="1">H139*(((1+'Assumptions-Overall'!$P$16/12)^12)-1)</f>
        <v>0</v>
      </c>
      <c r="I140" s="242">
        <f ca="1">I139*(((1+'Assumptions-Overall'!$P$16/12)^12)-1)</f>
        <v>14368493.444298688</v>
      </c>
      <c r="J140" s="242">
        <f ca="1">J139*(((1+'Assumptions-Overall'!$P$16/12)^12)-1)</f>
        <v>16190778.058322879</v>
      </c>
      <c r="K140" s="242">
        <f ca="1">K139*(((1+'Assumptions-Overall'!$P$16/12)^12)-1)</f>
        <v>0</v>
      </c>
      <c r="L140" s="242">
        <f ca="1">L139*(((1+'Assumptions-Overall'!$P$16/12)^12)-1)</f>
        <v>0</v>
      </c>
      <c r="M140" s="247">
        <f ca="1">M139*(((1+'Assumptions-Overall'!$P$16/12)^12)-1)</f>
        <v>0</v>
      </c>
    </row>
    <row r="141" spans="2:13" x14ac:dyDescent="0.2">
      <c r="B141" s="4" t="s">
        <v>507</v>
      </c>
      <c r="C141" s="254"/>
      <c r="D141" s="242">
        <f ca="1">D125</f>
        <v>0</v>
      </c>
      <c r="E141" s="242">
        <f t="shared" ref="E141:M141" ca="1" si="75">E125</f>
        <v>0</v>
      </c>
      <c r="F141" s="242">
        <f t="shared" ca="1" si="75"/>
        <v>0</v>
      </c>
      <c r="G141" s="242">
        <f t="shared" ca="1" si="75"/>
        <v>0</v>
      </c>
      <c r="H141" s="242">
        <f t="shared" ca="1" si="75"/>
        <v>113293830.3215645</v>
      </c>
      <c r="I141" s="242">
        <f t="shared" ca="1" si="75"/>
        <v>0</v>
      </c>
      <c r="J141" s="242">
        <f t="shared" ca="1" si="75"/>
        <v>0</v>
      </c>
      <c r="K141" s="242">
        <f t="shared" ca="1" si="75"/>
        <v>0</v>
      </c>
      <c r="L141" s="242">
        <f t="shared" ca="1" si="75"/>
        <v>0</v>
      </c>
      <c r="M141" s="247">
        <f t="shared" ca="1" si="75"/>
        <v>0</v>
      </c>
    </row>
    <row r="142" spans="2:13" x14ac:dyDescent="0.2">
      <c r="B142" s="4" t="s">
        <v>518</v>
      </c>
      <c r="C142" s="254"/>
      <c r="D142" s="242">
        <f>-(D139&lt;&gt;0)*D128*$Q89/SUM($Q89:$Q90)</f>
        <v>0</v>
      </c>
      <c r="E142" s="242">
        <f t="shared" ref="E142:M142" ca="1" si="76">-(E139&lt;&gt;0)*E128*$Q89/SUM($Q89:$Q90)</f>
        <v>0</v>
      </c>
      <c r="F142" s="242">
        <f t="shared" ca="1" si="76"/>
        <v>0</v>
      </c>
      <c r="G142" s="242">
        <f t="shared" ca="1" si="76"/>
        <v>0</v>
      </c>
      <c r="H142" s="242">
        <f t="shared" ca="1" si="76"/>
        <v>0</v>
      </c>
      <c r="I142" s="297">
        <f t="shared" ca="1" si="76"/>
        <v>0</v>
      </c>
      <c r="J142" s="242">
        <f t="shared" ca="1" si="76"/>
        <v>-29343702.809349876</v>
      </c>
      <c r="K142" s="242">
        <f t="shared" ca="1" si="76"/>
        <v>0</v>
      </c>
      <c r="L142" s="242">
        <f t="shared" ca="1" si="76"/>
        <v>0</v>
      </c>
      <c r="M142" s="247">
        <f t="shared" ca="1" si="76"/>
        <v>0</v>
      </c>
    </row>
    <row r="143" spans="2:13" x14ac:dyDescent="0.2">
      <c r="B143" s="4" t="s">
        <v>509</v>
      </c>
      <c r="C143" s="254"/>
      <c r="D143" s="242">
        <f t="shared" ref="D143:M143" ca="1" si="77">-(D$8=YEAR(PhaseIIRefi-1))*SUM(D139:D142)</f>
        <v>0</v>
      </c>
      <c r="E143" s="242">
        <f t="shared" ca="1" si="77"/>
        <v>0</v>
      </c>
      <c r="F143" s="242">
        <f t="shared" ca="1" si="77"/>
        <v>0</v>
      </c>
      <c r="G143" s="242">
        <f t="shared" ca="1" si="77"/>
        <v>0</v>
      </c>
      <c r="H143" s="242">
        <f t="shared" ca="1" si="77"/>
        <v>0</v>
      </c>
      <c r="I143" s="242">
        <f t="shared" ca="1" si="77"/>
        <v>0</v>
      </c>
      <c r="J143" s="242">
        <f t="shared" ca="1" si="77"/>
        <v>-114509399.01483618</v>
      </c>
      <c r="K143" s="242">
        <f t="shared" ca="1" si="77"/>
        <v>0</v>
      </c>
      <c r="L143" s="242">
        <f t="shared" ca="1" si="77"/>
        <v>0</v>
      </c>
      <c r="M143" s="247">
        <f t="shared" ca="1" si="77"/>
        <v>0</v>
      </c>
    </row>
    <row r="144" spans="2:13" x14ac:dyDescent="0.2">
      <c r="B144" s="4" t="s">
        <v>508</v>
      </c>
      <c r="C144" s="254"/>
      <c r="D144" s="242">
        <f ca="1">SUM(D139:D143)</f>
        <v>0</v>
      </c>
      <c r="E144" s="242">
        <f t="shared" ref="E144" ca="1" si="78">SUM(E139:E143)</f>
        <v>0</v>
      </c>
      <c r="F144" s="242">
        <f t="shared" ref="F144" ca="1" si="79">SUM(F139:F143)</f>
        <v>0</v>
      </c>
      <c r="G144" s="242">
        <f t="shared" ref="G144" ca="1" si="80">SUM(G139:G143)</f>
        <v>0</v>
      </c>
      <c r="H144" s="242">
        <f t="shared" ref="H144" ca="1" si="81">SUM(H139:H143)</f>
        <v>113293830.3215645</v>
      </c>
      <c r="I144" s="242">
        <f t="shared" ref="I144" ca="1" si="82">SUM(I139:I143)</f>
        <v>127662323.76586318</v>
      </c>
      <c r="J144" s="242">
        <f t="shared" ref="J144" ca="1" si="83">SUM(J139:J143)</f>
        <v>0</v>
      </c>
      <c r="K144" s="242">
        <f t="shared" ref="K144" ca="1" si="84">SUM(K139:K143)</f>
        <v>0</v>
      </c>
      <c r="L144" s="242">
        <f t="shared" ref="L144" ca="1" si="85">SUM(L139:L143)</f>
        <v>0</v>
      </c>
      <c r="M144" s="247">
        <f t="shared" ref="M144" ca="1" si="86">SUM(M139:M143)</f>
        <v>0</v>
      </c>
    </row>
    <row r="145" spans="2:18" x14ac:dyDescent="0.2">
      <c r="B145" s="4"/>
      <c r="C145" s="254"/>
      <c r="D145" s="242"/>
      <c r="E145" s="242"/>
      <c r="F145" s="242"/>
      <c r="G145" s="242"/>
      <c r="H145" s="242"/>
      <c r="I145" s="242"/>
      <c r="J145" s="242"/>
      <c r="K145" s="242"/>
      <c r="L145" s="242"/>
      <c r="M145" s="247"/>
    </row>
    <row r="146" spans="2:18" x14ac:dyDescent="0.2">
      <c r="B146" s="53" t="s">
        <v>98</v>
      </c>
      <c r="C146" s="254"/>
      <c r="D146" s="242"/>
      <c r="E146" s="242"/>
      <c r="F146" s="242"/>
      <c r="G146" s="242"/>
      <c r="H146" s="242"/>
      <c r="I146" s="242"/>
      <c r="J146" s="242"/>
      <c r="K146" s="242"/>
      <c r="L146" s="242"/>
      <c r="M146" s="247"/>
    </row>
    <row r="147" spans="2:18" x14ac:dyDescent="0.2">
      <c r="B147" s="4"/>
      <c r="C147" s="254"/>
      <c r="D147" s="242"/>
      <c r="E147" s="242"/>
      <c r="F147" s="242"/>
      <c r="G147" s="242"/>
      <c r="H147" s="242"/>
      <c r="I147" s="242"/>
      <c r="J147" s="242"/>
      <c r="K147" s="242"/>
      <c r="L147" s="242"/>
      <c r="M147" s="247"/>
    </row>
    <row r="148" spans="2:18" x14ac:dyDescent="0.2">
      <c r="B148" s="299" t="s">
        <v>94</v>
      </c>
      <c r="C148" s="254"/>
      <c r="D148" s="242"/>
      <c r="E148" s="242"/>
      <c r="F148" s="242"/>
      <c r="G148" s="242"/>
      <c r="H148" s="242"/>
      <c r="I148" s="242"/>
      <c r="J148" s="242"/>
      <c r="K148" s="242"/>
      <c r="L148" s="242"/>
      <c r="M148" s="247"/>
    </row>
    <row r="149" spans="2:18" x14ac:dyDescent="0.2">
      <c r="B149" s="4" t="s">
        <v>523</v>
      </c>
      <c r="C149" s="254"/>
      <c r="D149" s="242">
        <f t="shared" ref="D149:M149" si="87">-(D$8=YEAR(PhaseIIRefi-1))*$R123</f>
        <v>0</v>
      </c>
      <c r="E149" s="242">
        <f t="shared" si="87"/>
        <v>0</v>
      </c>
      <c r="F149" s="242">
        <f t="shared" si="87"/>
        <v>0</v>
      </c>
      <c r="G149" s="242">
        <f t="shared" si="87"/>
        <v>0</v>
      </c>
      <c r="H149" s="242">
        <f t="shared" si="87"/>
        <v>0</v>
      </c>
      <c r="I149" s="242">
        <f t="shared" si="87"/>
        <v>0</v>
      </c>
      <c r="J149" s="242">
        <f t="shared" si="87"/>
        <v>-3938259.2280431092</v>
      </c>
      <c r="K149" s="242">
        <f t="shared" si="87"/>
        <v>0</v>
      </c>
      <c r="L149" s="242">
        <f t="shared" si="87"/>
        <v>0</v>
      </c>
      <c r="M149" s="247">
        <f t="shared" si="87"/>
        <v>0</v>
      </c>
    </row>
    <row r="150" spans="2:18" x14ac:dyDescent="0.2">
      <c r="B150" s="4" t="s">
        <v>527</v>
      </c>
      <c r="C150" s="254"/>
      <c r="D150" s="242">
        <f t="shared" ref="D150:M150" si="88">(D$8=YEAR(PhaseIIRefi-1))*$R121</f>
        <v>0</v>
      </c>
      <c r="E150" s="242">
        <f t="shared" si="88"/>
        <v>0</v>
      </c>
      <c r="F150" s="242">
        <f t="shared" si="88"/>
        <v>0</v>
      </c>
      <c r="G150" s="242">
        <f t="shared" si="88"/>
        <v>0</v>
      </c>
      <c r="H150" s="242">
        <f t="shared" si="88"/>
        <v>0</v>
      </c>
      <c r="I150" s="242">
        <f t="shared" si="88"/>
        <v>0</v>
      </c>
      <c r="J150" s="242">
        <f t="shared" si="88"/>
        <v>393825922.80431092</v>
      </c>
      <c r="K150" s="242">
        <f t="shared" si="88"/>
        <v>0</v>
      </c>
      <c r="L150" s="242">
        <f t="shared" si="88"/>
        <v>0</v>
      </c>
      <c r="M150" s="247">
        <f t="shared" si="88"/>
        <v>0</v>
      </c>
    </row>
    <row r="151" spans="2:18" x14ac:dyDescent="0.2">
      <c r="B151" s="4" t="s">
        <v>524</v>
      </c>
      <c r="C151" s="254"/>
      <c r="D151" s="242">
        <f t="shared" ref="D151:M151" si="89">(D$8&gt;=YEAR(PhaseIIRefi))*$R122</f>
        <v>0</v>
      </c>
      <c r="E151" s="242">
        <f t="shared" si="89"/>
        <v>0</v>
      </c>
      <c r="F151" s="242">
        <f t="shared" si="89"/>
        <v>0</v>
      </c>
      <c r="G151" s="242">
        <f t="shared" si="89"/>
        <v>0</v>
      </c>
      <c r="H151" s="242">
        <f t="shared" si="89"/>
        <v>0</v>
      </c>
      <c r="I151" s="242">
        <f t="shared" si="89"/>
        <v>0</v>
      </c>
      <c r="J151" s="242">
        <f t="shared" si="89"/>
        <v>0</v>
      </c>
      <c r="K151" s="242">
        <f t="shared" si="89"/>
        <v>23945497.165627878</v>
      </c>
      <c r="L151" s="242">
        <f t="shared" si="89"/>
        <v>23945497.165627878</v>
      </c>
      <c r="M151" s="247">
        <f t="shared" si="89"/>
        <v>23945497.165627878</v>
      </c>
    </row>
    <row r="152" spans="2:18" x14ac:dyDescent="0.2">
      <c r="B152" s="4" t="s">
        <v>526</v>
      </c>
      <c r="C152" s="254"/>
      <c r="D152" s="242">
        <f>-(D$8=YEAR('Assumptions-Overall'!$C$30))*$R124</f>
        <v>0</v>
      </c>
      <c r="E152" s="242">
        <f>-(E$8=YEAR('Assumptions-Overall'!$C$30))*$R124</f>
        <v>0</v>
      </c>
      <c r="F152" s="242">
        <f>-(F$8=YEAR('Assumptions-Overall'!$C$30))*$R124</f>
        <v>0</v>
      </c>
      <c r="G152" s="242">
        <f>-(G$8=YEAR('Assumptions-Overall'!$C$30))*$R124</f>
        <v>0</v>
      </c>
      <c r="H152" s="242">
        <f>-(H$8=YEAR('Assumptions-Overall'!$C$30))*$R124</f>
        <v>0</v>
      </c>
      <c r="I152" s="242">
        <f>-(I$8=YEAR('Assumptions-Overall'!$C$30))*$R124</f>
        <v>0</v>
      </c>
      <c r="J152" s="242">
        <f>-(J$8=YEAR('Assumptions-Overall'!$C$30))*$R124</f>
        <v>0</v>
      </c>
      <c r="K152" s="242">
        <f>-(K$8=YEAR('Assumptions-Overall'!$C$30))*$R124</f>
        <v>0</v>
      </c>
      <c r="L152" s="242">
        <f>-(L$8=YEAR('Assumptions-Overall'!$C$30))*$R124</f>
        <v>0</v>
      </c>
      <c r="M152" s="247">
        <f>-(M$8=YEAR('Assumptions-Overall'!$C$30))*$R124</f>
        <v>-392264248.47900856</v>
      </c>
    </row>
    <row r="153" spans="2:18" x14ac:dyDescent="0.2">
      <c r="B153" s="4"/>
      <c r="C153" s="254"/>
      <c r="D153" s="242"/>
      <c r="E153" s="242"/>
      <c r="F153" s="242"/>
      <c r="G153" s="242"/>
      <c r="H153" s="242"/>
      <c r="I153" s="242"/>
      <c r="J153" s="242"/>
      <c r="K153" s="242"/>
      <c r="L153" s="242"/>
      <c r="M153" s="247"/>
    </row>
    <row r="154" spans="2:18" ht="12.75" thickBot="1" x14ac:dyDescent="0.25">
      <c r="B154" s="4" t="s">
        <v>528</v>
      </c>
      <c r="C154" s="254"/>
      <c r="D154" s="242">
        <f ca="1">D118+D122+D133+D134+D135+D141+D142+D143+D149+D150+D151+D152</f>
        <v>0</v>
      </c>
      <c r="E154" s="242">
        <f t="shared" ref="E154:M154" ca="1" si="90">E118+E122+E133+E134+E135+E141+E142+E143+E149+E150+E151+E152</f>
        <v>0</v>
      </c>
      <c r="F154" s="242">
        <f t="shared" ca="1" si="90"/>
        <v>-16851220.986534707</v>
      </c>
      <c r="G154" s="242">
        <f t="shared" ca="1" si="90"/>
        <v>-12010348.675525883</v>
      </c>
      <c r="H154" s="242">
        <f t="shared" ca="1" si="90"/>
        <v>-84432260.659503877</v>
      </c>
      <c r="I154" s="242">
        <f t="shared" ca="1" si="90"/>
        <v>0</v>
      </c>
      <c r="J154" s="242">
        <f t="shared" ca="1" si="90"/>
        <v>23770376.162624121</v>
      </c>
      <c r="K154" s="242">
        <f t="shared" ca="1" si="90"/>
        <v>52680093.76438161</v>
      </c>
      <c r="L154" s="242">
        <f t="shared" ca="1" si="90"/>
        <v>55649801.042104647</v>
      </c>
      <c r="M154" s="247">
        <f t="shared" ca="1" si="90"/>
        <v>370826205.78307366</v>
      </c>
    </row>
    <row r="155" spans="2:18" ht="12.75" thickBot="1" x14ac:dyDescent="0.25">
      <c r="B155" s="236" t="s">
        <v>530</v>
      </c>
      <c r="C155" s="298">
        <f ca="1">IFERROR(IRR(D154:M154),"n/a")</f>
        <v>0.35535928906348424</v>
      </c>
      <c r="D155" s="242"/>
      <c r="E155" s="242"/>
      <c r="F155" s="242"/>
      <c r="G155" s="242"/>
      <c r="H155" s="242"/>
      <c r="I155" s="242"/>
      <c r="J155" s="242"/>
      <c r="K155" s="242"/>
      <c r="L155" s="242"/>
      <c r="M155" s="247"/>
    </row>
    <row r="156" spans="2:18" ht="12.75" thickBot="1" x14ac:dyDescent="0.25">
      <c r="B156" s="236" t="s">
        <v>529</v>
      </c>
      <c r="C156" s="310">
        <f ca="1">-SUMIF(D154:M154,"&gt;"&amp;0)/SUMIF(D154:M154,"&lt;"&amp;0)</f>
        <v>4.4391338462537311</v>
      </c>
      <c r="D156" s="242"/>
      <c r="E156" s="242"/>
      <c r="F156" s="242"/>
      <c r="G156" s="242"/>
      <c r="H156" s="242"/>
      <c r="I156" s="242"/>
      <c r="J156" s="242"/>
      <c r="K156" s="242"/>
      <c r="L156" s="242"/>
      <c r="M156" s="247"/>
    </row>
    <row r="157" spans="2:18" ht="12.75" thickBot="1" x14ac:dyDescent="0.25">
      <c r="B157" s="250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2"/>
    </row>
    <row r="158" spans="2:18" x14ac:dyDescent="0.2">
      <c r="B158" s="243" t="s">
        <v>298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3"/>
      <c r="O158" s="419" t="s">
        <v>540</v>
      </c>
      <c r="P158" s="420"/>
      <c r="Q158" s="420"/>
      <c r="R158" s="421"/>
    </row>
    <row r="159" spans="2:18" x14ac:dyDescent="0.2">
      <c r="B159" s="4"/>
      <c r="C159" s="12"/>
      <c r="D159" s="244"/>
      <c r="E159" s="244"/>
      <c r="F159" s="244"/>
      <c r="G159" s="244"/>
      <c r="H159" s="244"/>
      <c r="I159" s="244"/>
      <c r="J159" s="244"/>
      <c r="K159" s="244"/>
      <c r="L159" s="244"/>
      <c r="M159" s="245"/>
      <c r="O159" s="243" t="s">
        <v>533</v>
      </c>
      <c r="P159" s="12"/>
      <c r="Q159" s="291"/>
      <c r="R159" s="13"/>
    </row>
    <row r="160" spans="2:18" x14ac:dyDescent="0.2">
      <c r="B160" s="53" t="s">
        <v>401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3"/>
      <c r="O160" s="4"/>
      <c r="P160" s="244"/>
      <c r="Q160" s="12"/>
      <c r="R160" s="245"/>
    </row>
    <row r="161" spans="2:18" x14ac:dyDescent="0.2">
      <c r="B161" s="4" t="s">
        <v>402</v>
      </c>
      <c r="C161" s="12"/>
      <c r="D161" s="242">
        <f>'CashFlow-ResRental'!D158</f>
        <v>0</v>
      </c>
      <c r="E161" s="242">
        <f>'CashFlow-ResRental'!E158</f>
        <v>0</v>
      </c>
      <c r="F161" s="242">
        <f>'CashFlow-ResRental'!F158</f>
        <v>0</v>
      </c>
      <c r="G161" s="242">
        <f>'CashFlow-ResRental'!G158</f>
        <v>0</v>
      </c>
      <c r="H161" s="242">
        <f>'CashFlow-ResRental'!H158</f>
        <v>0</v>
      </c>
      <c r="I161" s="242">
        <f>'CashFlow-ResRental'!I158</f>
        <v>0</v>
      </c>
      <c r="J161" s="242">
        <f>'CashFlow-ResRental'!J158</f>
        <v>0</v>
      </c>
      <c r="K161" s="242">
        <f>'CashFlow-ResRental'!K158</f>
        <v>0</v>
      </c>
      <c r="L161" s="242">
        <f>'CashFlow-ResRental'!L158</f>
        <v>2006786.5426113731</v>
      </c>
      <c r="M161" s="247">
        <f>'CashFlow-ResRental'!M158</f>
        <v>2855128.7142384076</v>
      </c>
      <c r="O161" s="53" t="s">
        <v>489</v>
      </c>
      <c r="P161" s="191" t="s">
        <v>458</v>
      </c>
      <c r="Q161" s="292" t="s">
        <v>92</v>
      </c>
      <c r="R161" s="192" t="s">
        <v>494</v>
      </c>
    </row>
    <row r="162" spans="2:18" x14ac:dyDescent="0.2">
      <c r="B162" s="75" t="s">
        <v>70</v>
      </c>
      <c r="C162" s="12"/>
      <c r="D162" s="242">
        <f>'CashFlow-Retail'!D154</f>
        <v>0</v>
      </c>
      <c r="E162" s="242">
        <f>'CashFlow-Retail'!E154</f>
        <v>0</v>
      </c>
      <c r="F162" s="242">
        <f>'CashFlow-Retail'!F154</f>
        <v>0</v>
      </c>
      <c r="G162" s="242">
        <f>'CashFlow-Retail'!G154</f>
        <v>0</v>
      </c>
      <c r="H162" s="242">
        <f>'CashFlow-Retail'!H154</f>
        <v>0</v>
      </c>
      <c r="I162" s="242">
        <f>'CashFlow-Retail'!I154</f>
        <v>0</v>
      </c>
      <c r="J162" s="242">
        <f>'CashFlow-Retail'!J154</f>
        <v>0</v>
      </c>
      <c r="K162" s="242">
        <f>'CashFlow-Retail'!K154</f>
        <v>0</v>
      </c>
      <c r="L162" s="242">
        <f>'CashFlow-Retail'!L154</f>
        <v>4931251.1315922905</v>
      </c>
      <c r="M162" s="247">
        <f>'CashFlow-Retail'!M154</f>
        <v>6940104.2612091526</v>
      </c>
      <c r="O162" s="4" t="s">
        <v>93</v>
      </c>
      <c r="P162" s="297">
        <f ca="1">SUM($D$197:$M$197)*Q162</f>
        <v>78152613.925942421</v>
      </c>
      <c r="Q162" s="293">
        <f>'Assumptions-Overall'!$P$11</f>
        <v>0.19999999999999996</v>
      </c>
      <c r="R162" s="259">
        <f ca="1">P162/$P$18</f>
        <v>0.12576450690026761</v>
      </c>
    </row>
    <row r="163" spans="2:18" x14ac:dyDescent="0.2">
      <c r="B163" s="75" t="s">
        <v>35</v>
      </c>
      <c r="C163" s="12"/>
      <c r="D163" s="242">
        <f>'CashFlow-Office'!D142</f>
        <v>0</v>
      </c>
      <c r="E163" s="242">
        <f>'CashFlow-Office'!E142</f>
        <v>0</v>
      </c>
      <c r="F163" s="242">
        <f>'CashFlow-Office'!F142</f>
        <v>0</v>
      </c>
      <c r="G163" s="242">
        <f>'CashFlow-Office'!G142</f>
        <v>0</v>
      </c>
      <c r="H163" s="242">
        <f>'CashFlow-Office'!H142</f>
        <v>0</v>
      </c>
      <c r="I163" s="242">
        <f>'CashFlow-Office'!I142</f>
        <v>0</v>
      </c>
      <c r="J163" s="242">
        <f>'CashFlow-Office'!J142</f>
        <v>0</v>
      </c>
      <c r="K163" s="242">
        <f>'CashFlow-Office'!K142</f>
        <v>0</v>
      </c>
      <c r="L163" s="242">
        <f>'CashFlow-Office'!L142</f>
        <v>0</v>
      </c>
      <c r="M163" s="247">
        <f>'CashFlow-Office'!M142</f>
        <v>0</v>
      </c>
      <c r="O163" s="75" t="s">
        <v>491</v>
      </c>
      <c r="P163" s="297">
        <f ca="1">SUM(D197:M197)*Q163</f>
        <v>78152613.925942451</v>
      </c>
      <c r="Q163" s="293">
        <f>'Assumptions-Overall'!$P$10</f>
        <v>0.2</v>
      </c>
      <c r="R163" s="259">
        <f ca="1">P163/$P$18</f>
        <v>0.12576450690026766</v>
      </c>
    </row>
    <row r="164" spans="2:18" x14ac:dyDescent="0.2">
      <c r="B164" s="4" t="s">
        <v>73</v>
      </c>
      <c r="C164" s="12"/>
      <c r="D164" s="242">
        <f>'CashFlow-Hotel'!D188</f>
        <v>0</v>
      </c>
      <c r="E164" s="242">
        <f>'CashFlow-Hotel'!E188</f>
        <v>0</v>
      </c>
      <c r="F164" s="242">
        <f>'CashFlow-Hotel'!F188</f>
        <v>0</v>
      </c>
      <c r="G164" s="242">
        <f>'CashFlow-Hotel'!G188</f>
        <v>0</v>
      </c>
      <c r="H164" s="242">
        <f>'CashFlow-Hotel'!H188</f>
        <v>0</v>
      </c>
      <c r="I164" s="242">
        <f>'CashFlow-Hotel'!I188</f>
        <v>0</v>
      </c>
      <c r="J164" s="242">
        <f>'CashFlow-Hotel'!J188</f>
        <v>0</v>
      </c>
      <c r="K164" s="242">
        <f>'CashFlow-Hotel'!K188</f>
        <v>0</v>
      </c>
      <c r="L164" s="242">
        <f>'CashFlow-Hotel'!L188</f>
        <v>27900582.54023546</v>
      </c>
      <c r="M164" s="247">
        <f>'CashFlow-Hotel'!M188</f>
        <v>28737600.01644253</v>
      </c>
      <c r="O164" s="75" t="s">
        <v>492</v>
      </c>
      <c r="P164" s="242">
        <f ca="1">SUM(D197:M197)*Q164</f>
        <v>234457841.77782732</v>
      </c>
      <c r="Q164" s="293">
        <f>'Assumptions-Overall'!$P$9</f>
        <v>0.6</v>
      </c>
      <c r="R164" s="259">
        <f ca="1">P164/$P$18</f>
        <v>0.37729352070080291</v>
      </c>
    </row>
    <row r="165" spans="2:18" x14ac:dyDescent="0.2">
      <c r="B165" s="75" t="s">
        <v>403</v>
      </c>
      <c r="C165" s="12"/>
      <c r="D165" s="240">
        <v>0</v>
      </c>
      <c r="E165" s="240">
        <v>0</v>
      </c>
      <c r="F165" s="240">
        <v>0</v>
      </c>
      <c r="G165" s="240">
        <v>0</v>
      </c>
      <c r="H165" s="240">
        <v>0</v>
      </c>
      <c r="I165" s="240">
        <v>0</v>
      </c>
      <c r="J165" s="240">
        <v>0</v>
      </c>
      <c r="K165" s="240">
        <v>0</v>
      </c>
      <c r="L165" s="240">
        <v>0</v>
      </c>
      <c r="M165" s="248">
        <v>0</v>
      </c>
      <c r="O165" s="75" t="s">
        <v>504</v>
      </c>
      <c r="P165" s="240">
        <f>SUMIF(D$8:M$8,"&lt;"&amp;YEAR(PhaseIIIComplete),D184:M185)</f>
        <v>15106705.528153788</v>
      </c>
      <c r="Q165" s="293" t="s">
        <v>11</v>
      </c>
      <c r="R165" s="294">
        <f ca="1">P165/$P$18</f>
        <v>2.4309965798919343E-2</v>
      </c>
    </row>
    <row r="166" spans="2:18" x14ac:dyDescent="0.2">
      <c r="B166" s="4" t="s">
        <v>404</v>
      </c>
      <c r="C166" s="12"/>
      <c r="D166" s="242">
        <f>SUM(D161:D165)</f>
        <v>0</v>
      </c>
      <c r="E166" s="242">
        <f t="shared" ref="E166:M166" si="91">SUM(E161:E165)</f>
        <v>0</v>
      </c>
      <c r="F166" s="242">
        <f t="shared" si="91"/>
        <v>0</v>
      </c>
      <c r="G166" s="242">
        <f t="shared" si="91"/>
        <v>0</v>
      </c>
      <c r="H166" s="242">
        <f t="shared" si="91"/>
        <v>0</v>
      </c>
      <c r="I166" s="242">
        <f t="shared" si="91"/>
        <v>0</v>
      </c>
      <c r="J166" s="242">
        <f t="shared" si="91"/>
        <v>0</v>
      </c>
      <c r="K166" s="242">
        <f t="shared" si="91"/>
        <v>0</v>
      </c>
      <c r="L166" s="242">
        <f t="shared" si="91"/>
        <v>34838620.214439124</v>
      </c>
      <c r="M166" s="247">
        <f t="shared" si="91"/>
        <v>38532832.991890088</v>
      </c>
      <c r="O166" s="4" t="s">
        <v>493</v>
      </c>
      <c r="P166" s="242">
        <f ca="1">SUM(P162:P165)</f>
        <v>405869775.157866</v>
      </c>
      <c r="Q166" s="12"/>
      <c r="R166" s="259">
        <f ca="1">P166/$P$18</f>
        <v>0.6531325003002576</v>
      </c>
    </row>
    <row r="167" spans="2:18" x14ac:dyDescent="0.2">
      <c r="B167" s="4"/>
      <c r="C167" s="1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7"/>
      <c r="O167" s="4"/>
      <c r="P167" s="242"/>
      <c r="Q167" s="12"/>
      <c r="R167" s="247"/>
    </row>
    <row r="168" spans="2:18" x14ac:dyDescent="0.2">
      <c r="B168" s="4" t="s">
        <v>409</v>
      </c>
      <c r="C168" s="12"/>
      <c r="D168" s="242">
        <f t="shared" ref="D168:M168" si="92">-(D$8=YEAR(PhaseIIIConBegin))*LandPhaseIII</f>
        <v>0</v>
      </c>
      <c r="E168" s="242">
        <f t="shared" si="92"/>
        <v>0</v>
      </c>
      <c r="F168" s="242">
        <f t="shared" si="92"/>
        <v>0</v>
      </c>
      <c r="G168" s="242">
        <f t="shared" si="92"/>
        <v>0</v>
      </c>
      <c r="H168" s="242">
        <f t="shared" si="92"/>
        <v>0</v>
      </c>
      <c r="I168" s="242">
        <f t="shared" si="92"/>
        <v>0</v>
      </c>
      <c r="J168" s="242">
        <f t="shared" si="92"/>
        <v>-15600000</v>
      </c>
      <c r="K168" s="242">
        <f t="shared" si="92"/>
        <v>0</v>
      </c>
      <c r="L168" s="242">
        <f t="shared" si="92"/>
        <v>0</v>
      </c>
      <c r="M168" s="247">
        <f t="shared" si="92"/>
        <v>0</v>
      </c>
      <c r="O168" s="53" t="s">
        <v>490</v>
      </c>
      <c r="P168" s="191" t="s">
        <v>458</v>
      </c>
      <c r="Q168" s="292"/>
      <c r="R168" s="192" t="s">
        <v>494</v>
      </c>
    </row>
    <row r="169" spans="2:18" x14ac:dyDescent="0.2">
      <c r="B169" s="4"/>
      <c r="C169" s="1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7"/>
      <c r="O169" s="4" t="s">
        <v>409</v>
      </c>
      <c r="P169" s="242">
        <f>-SUM(D168:M168)</f>
        <v>15600000</v>
      </c>
      <c r="Q169" s="12"/>
      <c r="R169" s="259">
        <f t="shared" ref="R169:R178" ca="1" si="93">P169/$P$30</f>
        <v>2.5103783598374587E-2</v>
      </c>
    </row>
    <row r="170" spans="2:18" x14ac:dyDescent="0.2">
      <c r="B170" s="53" t="s">
        <v>209</v>
      </c>
      <c r="C170" s="1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7"/>
      <c r="O170" s="4" t="str">
        <f t="shared" ref="O170:O176" si="94">B171&amp;" Construction Costs"</f>
        <v>Residential Apartments Construction Costs</v>
      </c>
      <c r="P170" s="242">
        <f t="shared" ref="P170:P176" si="95">-SUM(D171:M171)</f>
        <v>58628191.660613455</v>
      </c>
      <c r="Q170" s="12"/>
      <c r="R170" s="259">
        <f t="shared" ca="1" si="93"/>
        <v>9.4345476680260887E-2</v>
      </c>
    </row>
    <row r="171" spans="2:18" x14ac:dyDescent="0.2">
      <c r="B171" s="4" t="s">
        <v>402</v>
      </c>
      <c r="C171" s="12"/>
      <c r="D171" s="242">
        <f>'CashFlow-ResRental'!D165</f>
        <v>0</v>
      </c>
      <c r="E171" s="242">
        <f>'CashFlow-ResRental'!E165</f>
        <v>0</v>
      </c>
      <c r="F171" s="242">
        <f>'CashFlow-ResRental'!F165</f>
        <v>0</v>
      </c>
      <c r="G171" s="242">
        <f>'CashFlow-ResRental'!G165</f>
        <v>0</v>
      </c>
      <c r="H171" s="242">
        <f>'CashFlow-ResRental'!H165</f>
        <v>-2543785.1753571951</v>
      </c>
      <c r="I171" s="242">
        <f>'CashFlow-ResRental'!I165</f>
        <v>-2543785.1753571951</v>
      </c>
      <c r="J171" s="242">
        <f>'CashFlow-ResRental'!J165</f>
        <v>-26412283.184807774</v>
      </c>
      <c r="K171" s="242">
        <f>'CashFlow-ResRental'!K165</f>
        <v>-27128338.125091292</v>
      </c>
      <c r="L171" s="242">
        <f>'CashFlow-ResRental'!L165</f>
        <v>0</v>
      </c>
      <c r="M171" s="247">
        <f>'CashFlow-ResRental'!M165</f>
        <v>0</v>
      </c>
      <c r="O171" s="4" t="str">
        <f t="shared" si="94"/>
        <v>Residential Condos Construction Costs</v>
      </c>
      <c r="P171" s="242">
        <f t="shared" si="95"/>
        <v>49444515.571131125</v>
      </c>
      <c r="Q171" s="12"/>
      <c r="R171" s="259">
        <f t="shared" ca="1" si="93"/>
        <v>7.9566949937444773E-2</v>
      </c>
    </row>
    <row r="172" spans="2:18" x14ac:dyDescent="0.2">
      <c r="B172" s="4" t="s">
        <v>405</v>
      </c>
      <c r="C172" s="12"/>
      <c r="D172" s="242">
        <f>'CashFlow-ResCondo'!D99</f>
        <v>0</v>
      </c>
      <c r="E172" s="242">
        <f>'CashFlow-ResCondo'!E99</f>
        <v>0</v>
      </c>
      <c r="F172" s="242">
        <f>'CashFlow-ResCondo'!F99</f>
        <v>0</v>
      </c>
      <c r="G172" s="242">
        <f>'CashFlow-ResCondo'!G99</f>
        <v>0</v>
      </c>
      <c r="H172" s="242">
        <f>'CashFlow-ResCondo'!H99</f>
        <v>-2145319.8904829617</v>
      </c>
      <c r="I172" s="242">
        <f>'CashFlow-ResCondo'!I99</f>
        <v>-2145319.8904829617</v>
      </c>
      <c r="J172" s="242">
        <f>'CashFlow-ResCondo'!J99</f>
        <v>-22274992.801418565</v>
      </c>
      <c r="K172" s="242">
        <f>'CashFlow-ResCondo'!K99</f>
        <v>-22878882.988746636</v>
      </c>
      <c r="L172" s="242">
        <f>'CashFlow-ResCondo'!L99</f>
        <v>0</v>
      </c>
      <c r="M172" s="247">
        <f>'CashFlow-ResCondo'!M99</f>
        <v>0</v>
      </c>
      <c r="O172" s="4" t="str">
        <f t="shared" si="94"/>
        <v>Retail Construction Costs</v>
      </c>
      <c r="P172" s="242">
        <f t="shared" si="95"/>
        <v>87134453.916696787</v>
      </c>
      <c r="Q172" s="12"/>
      <c r="R172" s="259">
        <f t="shared" ca="1" si="93"/>
        <v>0.14021823558251917</v>
      </c>
    </row>
    <row r="173" spans="2:18" x14ac:dyDescent="0.2">
      <c r="B173" s="4" t="s">
        <v>70</v>
      </c>
      <c r="C173" s="12"/>
      <c r="D173" s="242">
        <f>'CashFlow-Retail'!D161</f>
        <v>0</v>
      </c>
      <c r="E173" s="242">
        <f>'CashFlow-Retail'!E161</f>
        <v>0</v>
      </c>
      <c r="F173" s="242">
        <f>'CashFlow-Retail'!F161</f>
        <v>0</v>
      </c>
      <c r="G173" s="242">
        <f>'CashFlow-Retail'!G161</f>
        <v>0</v>
      </c>
      <c r="H173" s="242">
        <f>'CashFlow-Retail'!H161</f>
        <v>-3780627.1327492418</v>
      </c>
      <c r="I173" s="242">
        <f>'CashFlow-Retail'!I161</f>
        <v>-3780627.1327492418</v>
      </c>
      <c r="J173" s="242">
        <f>'CashFlow-Retail'!J161</f>
        <v>-39358570.51338955</v>
      </c>
      <c r="K173" s="242">
        <f>'CashFlow-Retail'!K161</f>
        <v>-40214629.137808762</v>
      </c>
      <c r="L173" s="242">
        <f>'CashFlow-Retail'!L161</f>
        <v>0</v>
      </c>
      <c r="M173" s="247">
        <f>'CashFlow-Retail'!M161</f>
        <v>0</v>
      </c>
      <c r="O173" s="4" t="str">
        <f t="shared" si="94"/>
        <v>Office Construction Costs</v>
      </c>
      <c r="P173" s="242">
        <f t="shared" si="95"/>
        <v>0</v>
      </c>
      <c r="Q173" s="12"/>
      <c r="R173" s="259">
        <f t="shared" ca="1" si="93"/>
        <v>0</v>
      </c>
    </row>
    <row r="174" spans="2:18" x14ac:dyDescent="0.2">
      <c r="B174" s="4" t="s">
        <v>35</v>
      </c>
      <c r="C174" s="12"/>
      <c r="D174" s="242">
        <f>'CashFlow-Office'!D149</f>
        <v>0</v>
      </c>
      <c r="E174" s="242">
        <f>'CashFlow-Office'!E149</f>
        <v>0</v>
      </c>
      <c r="F174" s="242">
        <f>'CashFlow-Office'!F149</f>
        <v>0</v>
      </c>
      <c r="G174" s="242">
        <f>'CashFlow-Office'!G149</f>
        <v>0</v>
      </c>
      <c r="H174" s="242">
        <f>'CashFlow-Office'!H149</f>
        <v>0</v>
      </c>
      <c r="I174" s="242">
        <f>'CashFlow-Office'!I149</f>
        <v>0</v>
      </c>
      <c r="J174" s="242">
        <f>'CashFlow-Office'!J149</f>
        <v>0</v>
      </c>
      <c r="K174" s="242">
        <f>'CashFlow-Office'!K149</f>
        <v>0</v>
      </c>
      <c r="L174" s="242">
        <f>'CashFlow-Office'!L149</f>
        <v>0</v>
      </c>
      <c r="M174" s="247">
        <f>'CashFlow-Office'!M149</f>
        <v>0</v>
      </c>
      <c r="O174" s="4" t="str">
        <f t="shared" si="94"/>
        <v>Hotel Construction Costs</v>
      </c>
      <c r="P174" s="242">
        <f t="shared" si="95"/>
        <v>189001660.96753842</v>
      </c>
      <c r="Q174" s="12"/>
      <c r="R174" s="259">
        <f t="shared" ca="1" si="93"/>
        <v>0.30414466645272087</v>
      </c>
    </row>
    <row r="175" spans="2:18" x14ac:dyDescent="0.2">
      <c r="B175" s="4" t="s">
        <v>73</v>
      </c>
      <c r="C175" s="12"/>
      <c r="D175" s="242">
        <f>'CashFlow-Hotel'!D195</f>
        <v>0</v>
      </c>
      <c r="E175" s="242">
        <f>'CashFlow-Hotel'!E195</f>
        <v>0</v>
      </c>
      <c r="F175" s="242">
        <f>'CashFlow-Hotel'!F195</f>
        <v>0</v>
      </c>
      <c r="G175" s="242">
        <f>'CashFlow-Hotel'!G195</f>
        <v>0</v>
      </c>
      <c r="H175" s="242">
        <f>'CashFlow-Hotel'!H195</f>
        <v>-8200485.2899138574</v>
      </c>
      <c r="I175" s="242">
        <f>'CashFlow-Hotel'!I195</f>
        <v>-8200485.2899138574</v>
      </c>
      <c r="J175" s="242">
        <f>'CashFlow-Hotel'!J195</f>
        <v>-85146160.072122231</v>
      </c>
      <c r="K175" s="242">
        <f>'CashFlow-Hotel'!K195</f>
        <v>-87454530.315588489</v>
      </c>
      <c r="L175" s="242">
        <f>'CashFlow-Hotel'!L195</f>
        <v>0</v>
      </c>
      <c r="M175" s="247">
        <f>'CashFlow-Hotel'!M195</f>
        <v>0</v>
      </c>
      <c r="O175" s="4" t="str">
        <f t="shared" si="94"/>
        <v>Parking Construction Costs</v>
      </c>
      <c r="P175" s="242">
        <f t="shared" si="95"/>
        <v>0</v>
      </c>
      <c r="Q175" s="12"/>
      <c r="R175" s="259">
        <f t="shared" ca="1" si="93"/>
        <v>0</v>
      </c>
    </row>
    <row r="176" spans="2:18" x14ac:dyDescent="0.2">
      <c r="B176" s="4" t="s">
        <v>403</v>
      </c>
      <c r="C176" s="12"/>
      <c r="D176" s="242">
        <v>0</v>
      </c>
      <c r="E176" s="242">
        <v>0</v>
      </c>
      <c r="F176" s="242">
        <v>0</v>
      </c>
      <c r="G176" s="242">
        <v>0</v>
      </c>
      <c r="H176" s="242">
        <v>0</v>
      </c>
      <c r="I176" s="242">
        <v>0</v>
      </c>
      <c r="J176" s="242">
        <v>0</v>
      </c>
      <c r="K176" s="242">
        <v>0</v>
      </c>
      <c r="L176" s="242">
        <v>0</v>
      </c>
      <c r="M176" s="247">
        <v>0</v>
      </c>
      <c r="O176" s="4" t="str">
        <f t="shared" si="94"/>
        <v>Infrastructure Construction Costs</v>
      </c>
      <c r="P176" s="242">
        <f t="shared" si="95"/>
        <v>2934848.4848484849</v>
      </c>
      <c r="Q176" s="12"/>
      <c r="R176" s="259">
        <f t="shared" ca="1" si="93"/>
        <v>4.7228077729265325E-3</v>
      </c>
    </row>
    <row r="177" spans="2:18" x14ac:dyDescent="0.2">
      <c r="B177" s="75" t="s">
        <v>406</v>
      </c>
      <c r="C177" s="12"/>
      <c r="D177" s="240">
        <f>-(AND(D$8&gt;=YEAR(PhaseIIIConBegin),D$8&lt;=YEAR(PhaseIIIConEnd)))*'Assumptions-Land&amp;Infrastructure'!$M$26/(YEAR(PhaseIIIConEnd)-YEAR(PhaseIIIConBegin)+1)</f>
        <v>0</v>
      </c>
      <c r="E177" s="240">
        <f>-(AND(E$8&gt;=YEAR(PhaseIIIConBegin),E$8&lt;=YEAR(PhaseIIIConEnd)))*'Assumptions-Land&amp;Infrastructure'!$M$26/(YEAR(PhaseIIIConEnd)-YEAR(PhaseIIIConBegin)+1)</f>
        <v>0</v>
      </c>
      <c r="F177" s="240">
        <f>-(AND(F$8&gt;=YEAR(PhaseIIIConBegin),F$8&lt;=YEAR(PhaseIIIConEnd)))*'Assumptions-Land&amp;Infrastructure'!$M$26/(YEAR(PhaseIIIConEnd)-YEAR(PhaseIIIConBegin)+1)</f>
        <v>0</v>
      </c>
      <c r="G177" s="240">
        <f>-(AND(G$8&gt;=YEAR(PhaseIIIConBegin),G$8&lt;=YEAR(PhaseIIIConEnd)))*'Assumptions-Land&amp;Infrastructure'!$M$26/(YEAR(PhaseIIIConEnd)-YEAR(PhaseIIIConBegin)+1)</f>
        <v>0</v>
      </c>
      <c r="H177" s="240">
        <f>-(AND(H$8&gt;=YEAR(PhaseIIIConBegin),H$8&lt;=YEAR(PhaseIIIConEnd)))*'Assumptions-Land&amp;Infrastructure'!$M$26/(YEAR(PhaseIIIConEnd)-YEAR(PhaseIIIConBegin)+1)</f>
        <v>0</v>
      </c>
      <c r="I177" s="240">
        <f>-(AND(I$8&gt;=YEAR(PhaseIIIConBegin),I$8&lt;=YEAR(PhaseIIIConEnd)))*'Assumptions-Land&amp;Infrastructure'!$M$26/(YEAR(PhaseIIIConEnd)-YEAR(PhaseIIIConBegin)+1)</f>
        <v>0</v>
      </c>
      <c r="J177" s="240">
        <f>-(AND(J$8&gt;=YEAR(PhaseIIIConBegin),J$8&lt;=YEAR(PhaseIIIConEnd)))*'Assumptions-Land&amp;Infrastructure'!$M$26/(YEAR(PhaseIIIConEnd)-YEAR(PhaseIIIConBegin)+1)</f>
        <v>-1467424.2424242424</v>
      </c>
      <c r="K177" s="240">
        <f>-(AND(K$8&gt;=YEAR(PhaseIIIConBegin),K$8&lt;=YEAR(PhaseIIIConEnd)))*'Assumptions-Land&amp;Infrastructure'!$M$26/(YEAR(PhaseIIIConEnd)-YEAR(PhaseIIIConBegin)+1)</f>
        <v>-1467424.2424242424</v>
      </c>
      <c r="L177" s="240">
        <f>-(AND(L$8&gt;=YEAR(PhaseIIIConBegin),L$8&lt;=YEAR(PhaseIIIConEnd)))*'Assumptions-Land&amp;Infrastructure'!$M$26/(YEAR(PhaseIIIConEnd)-YEAR(PhaseIIIConBegin)+1)</f>
        <v>0</v>
      </c>
      <c r="M177" s="248">
        <f>-(AND(M$8&gt;=YEAR(PhaseIIIConBegin),M$8&lt;=YEAR(PhaseIIIConEnd)))*'Assumptions-Land&amp;Infrastructure'!$M$26/(YEAR(PhaseIIIConEnd)-YEAR(PhaseIIIConBegin)+1)</f>
        <v>0</v>
      </c>
      <c r="O177" s="4" t="s">
        <v>495</v>
      </c>
      <c r="P177" s="240">
        <f ca="1">P163*'Assumptions-Overall'!$P$24+'Assumptions-Overall'!$P$23*'CashFlow-Combined'!P164</f>
        <v>3126104.5570376976</v>
      </c>
      <c r="Q177" s="12"/>
      <c r="R177" s="294">
        <f t="shared" ca="1" si="93"/>
        <v>5.0305802760107054E-3</v>
      </c>
    </row>
    <row r="178" spans="2:18" ht="12.75" thickBot="1" x14ac:dyDescent="0.25">
      <c r="B178" s="4" t="s">
        <v>313</v>
      </c>
      <c r="C178" s="12"/>
      <c r="D178" s="242">
        <f>SUM(D171:D177)</f>
        <v>0</v>
      </c>
      <c r="E178" s="242">
        <f t="shared" ref="E178" si="96">SUM(E171:E177)</f>
        <v>0</v>
      </c>
      <c r="F178" s="242">
        <f t="shared" ref="F178" si="97">SUM(F171:F177)</f>
        <v>0</v>
      </c>
      <c r="G178" s="242">
        <f t="shared" ref="G178" si="98">SUM(G171:G177)</f>
        <v>0</v>
      </c>
      <c r="H178" s="242">
        <f t="shared" ref="H178" si="99">SUM(H171:H177)</f>
        <v>-16670217.488503257</v>
      </c>
      <c r="I178" s="242">
        <f t="shared" ref="I178" si="100">SUM(I171:I177)</f>
        <v>-16670217.488503257</v>
      </c>
      <c r="J178" s="242">
        <f t="shared" ref="J178" si="101">SUM(J171:J177)</f>
        <v>-174659430.81416237</v>
      </c>
      <c r="K178" s="242">
        <f t="shared" ref="K178" si="102">SUM(K171:K177)</f>
        <v>-179143804.80965942</v>
      </c>
      <c r="L178" s="242">
        <f t="shared" ref="L178" si="103">SUM(L171:L177)</f>
        <v>0</v>
      </c>
      <c r="M178" s="247">
        <f t="shared" ref="M178" si="104">SUM(M171:M177)</f>
        <v>0</v>
      </c>
      <c r="O178" s="6" t="s">
        <v>496</v>
      </c>
      <c r="P178" s="295">
        <f ca="1">SUM(P169:P177)</f>
        <v>405869775.157866</v>
      </c>
      <c r="Q178" s="15"/>
      <c r="R178" s="296">
        <f t="shared" ca="1" si="93"/>
        <v>0.6531325003002576</v>
      </c>
    </row>
    <row r="179" spans="2:18" x14ac:dyDescent="0.2">
      <c r="B179" s="4"/>
      <c r="C179" s="12"/>
      <c r="D179" s="242"/>
      <c r="E179" s="242"/>
      <c r="F179" s="242"/>
      <c r="G179" s="242"/>
      <c r="H179" s="211"/>
      <c r="I179" s="242"/>
      <c r="J179" s="242"/>
      <c r="K179" s="242"/>
      <c r="L179" s="242"/>
      <c r="M179" s="247"/>
      <c r="O179" s="243" t="s">
        <v>534</v>
      </c>
      <c r="P179" s="12"/>
      <c r="Q179" s="12"/>
      <c r="R179" s="13"/>
    </row>
    <row r="180" spans="2:18" x14ac:dyDescent="0.2">
      <c r="B180" s="4" t="s">
        <v>319</v>
      </c>
      <c r="C180" s="12"/>
      <c r="D180" s="242">
        <f>'CashFlow-ResRental'!D167</f>
        <v>0</v>
      </c>
      <c r="E180" s="242">
        <f>'CashFlow-ResRental'!E167</f>
        <v>0</v>
      </c>
      <c r="F180" s="242">
        <f>'CashFlow-ResRental'!F167</f>
        <v>0</v>
      </c>
      <c r="G180" s="242">
        <f>'CashFlow-ResRental'!G167</f>
        <v>0</v>
      </c>
      <c r="H180" s="242">
        <f>'CashFlow-ResRental'!H167</f>
        <v>0</v>
      </c>
      <c r="I180" s="242">
        <f>'CashFlow-ResRental'!I167</f>
        <v>0</v>
      </c>
      <c r="J180" s="242">
        <f>'CashFlow-ResRental'!J167</f>
        <v>0</v>
      </c>
      <c r="K180" s="242">
        <f>'CashFlow-ResRental'!K167</f>
        <v>0</v>
      </c>
      <c r="L180" s="242">
        <f>'CashFlow-ResRental'!L167</f>
        <v>3000000</v>
      </c>
      <c r="M180" s="247">
        <f>'CashFlow-ResRental'!M167</f>
        <v>0</v>
      </c>
      <c r="O180" s="4"/>
      <c r="P180" s="301" t="s">
        <v>512</v>
      </c>
      <c r="Q180" s="189"/>
      <c r="R180" s="302" t="s">
        <v>514</v>
      </c>
    </row>
    <row r="181" spans="2:18" x14ac:dyDescent="0.2">
      <c r="B181" s="4"/>
      <c r="C181" s="12"/>
      <c r="D181" s="242"/>
      <c r="E181" s="242"/>
      <c r="F181" s="242"/>
      <c r="G181" s="242"/>
      <c r="H181" s="211"/>
      <c r="I181" s="242"/>
      <c r="J181" s="242"/>
      <c r="K181" s="242"/>
      <c r="L181" s="242"/>
      <c r="M181" s="247"/>
      <c r="O181" s="53" t="s">
        <v>186</v>
      </c>
      <c r="P181" s="191" t="s">
        <v>513</v>
      </c>
      <c r="Q181" s="191" t="s">
        <v>510</v>
      </c>
      <c r="R181" s="192" t="s">
        <v>511</v>
      </c>
    </row>
    <row r="182" spans="2:18" x14ac:dyDescent="0.2">
      <c r="B182" s="53" t="s">
        <v>480</v>
      </c>
      <c r="C182" s="1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7"/>
      <c r="O182" s="4" t="str">
        <f t="shared" ref="O182:O187" si="105">B161</f>
        <v>Residential Apartments</v>
      </c>
      <c r="P182" s="242">
        <f>SUMIF(D$8:M$8,YEAR(PhaseIIIRefi),D161:M161)</f>
        <v>2855128.7142384076</v>
      </c>
      <c r="Q182" s="300">
        <f>'Assumptions-Overall'!$Y$9</f>
        <v>3.7500000000000006E-2</v>
      </c>
      <c r="R182" s="303">
        <f>P182/Q182</f>
        <v>76136765.713024184</v>
      </c>
    </row>
    <row r="183" spans="2:18" x14ac:dyDescent="0.2">
      <c r="B183" s="4" t="s">
        <v>402</v>
      </c>
      <c r="C183" s="12"/>
      <c r="D183" s="242">
        <f>'CashFlow-ResRental'!D172</f>
        <v>0</v>
      </c>
      <c r="E183" s="242">
        <f>'CashFlow-ResRental'!E172</f>
        <v>0</v>
      </c>
      <c r="F183" s="242">
        <f>'CashFlow-ResRental'!F172</f>
        <v>0</v>
      </c>
      <c r="G183" s="242">
        <f>'CashFlow-ResRental'!G172</f>
        <v>0</v>
      </c>
      <c r="H183" s="242">
        <f>'CashFlow-ResRental'!H172</f>
        <v>0</v>
      </c>
      <c r="I183" s="242">
        <f>'CashFlow-ResRental'!I172</f>
        <v>0</v>
      </c>
      <c r="J183" s="242">
        <f>'CashFlow-ResRental'!J172</f>
        <v>0</v>
      </c>
      <c r="K183" s="242">
        <f>'CashFlow-ResRental'!K172</f>
        <v>0</v>
      </c>
      <c r="L183" s="242">
        <f>'CashFlow-ResRental'!L172</f>
        <v>0</v>
      </c>
      <c r="M183" s="247">
        <f>'CashFlow-ResRental'!M172</f>
        <v>78926947.995679185</v>
      </c>
      <c r="O183" s="4" t="str">
        <f t="shared" si="105"/>
        <v>Retail</v>
      </c>
      <c r="P183" s="242">
        <f>SUMIF(D$8:M$8,YEAR(PhaseIIIRefi),D162:M162)</f>
        <v>6940104.2612091526</v>
      </c>
      <c r="Q183" s="300">
        <f>'Assumptions-Overall'!$Y$13</f>
        <v>4.5000000000000005E-2</v>
      </c>
      <c r="R183" s="303">
        <f t="shared" ref="R183:R186" si="106">P183/Q183</f>
        <v>154224539.13798115</v>
      </c>
    </row>
    <row r="184" spans="2:18" x14ac:dyDescent="0.2">
      <c r="B184" s="4" t="s">
        <v>405</v>
      </c>
      <c r="C184" s="12"/>
      <c r="D184" s="242">
        <f>'CashFlow-ResCondo'!D106</f>
        <v>0</v>
      </c>
      <c r="E184" s="242">
        <f>'CashFlow-ResCondo'!E106</f>
        <v>0</v>
      </c>
      <c r="F184" s="242">
        <f>'CashFlow-ResCondo'!F106</f>
        <v>0</v>
      </c>
      <c r="G184" s="242">
        <f>'CashFlow-ResCondo'!G106</f>
        <v>0</v>
      </c>
      <c r="H184" s="242">
        <f>'CashFlow-ResCondo'!H106</f>
        <v>5497594.2730622534</v>
      </c>
      <c r="I184" s="242">
        <f>'CashFlow-ResCondo'!I106</f>
        <v>5662522.1012541205</v>
      </c>
      <c r="J184" s="242">
        <f>'CashFlow-ResCondo'!J106</f>
        <v>1944132.5880972478</v>
      </c>
      <c r="K184" s="242">
        <f>'CashFlow-ResCondo'!K106</f>
        <v>2002456.5657401653</v>
      </c>
      <c r="L184" s="242">
        <f>'CashFlow-ResCondo'!L106</f>
        <v>60426822.112615146</v>
      </c>
      <c r="M184" s="247">
        <f>'CashFlow-ResCondo'!M106</f>
        <v>0</v>
      </c>
      <c r="O184" s="4" t="str">
        <f t="shared" si="105"/>
        <v>Office</v>
      </c>
      <c r="P184" s="242">
        <f>SUMIF(D$8:M$8,YEAR(PhaseIIIRefi),D163:M163)</f>
        <v>0</v>
      </c>
      <c r="Q184" s="300">
        <f>'Assumptions-Overall'!$Y$18</f>
        <v>4.5000000000000005E-2</v>
      </c>
      <c r="R184" s="303">
        <f t="shared" si="106"/>
        <v>0</v>
      </c>
    </row>
    <row r="185" spans="2:18" x14ac:dyDescent="0.2">
      <c r="B185" s="4" t="s">
        <v>488</v>
      </c>
      <c r="C185" s="12"/>
      <c r="D185" s="242">
        <v>0</v>
      </c>
      <c r="E185" s="242">
        <v>0</v>
      </c>
      <c r="F185" s="242">
        <v>0</v>
      </c>
      <c r="G185" s="242">
        <v>0</v>
      </c>
      <c r="H185" s="242">
        <v>0</v>
      </c>
      <c r="I185" s="242">
        <v>0</v>
      </c>
      <c r="J185" s="242">
        <v>0</v>
      </c>
      <c r="K185" s="242">
        <v>0</v>
      </c>
      <c r="L185" s="242">
        <v>0</v>
      </c>
      <c r="M185" s="247">
        <v>0</v>
      </c>
      <c r="O185" s="4" t="str">
        <f t="shared" si="105"/>
        <v>Hotel</v>
      </c>
      <c r="P185" s="242">
        <f>SUMIF(D$8:M$8,YEAR(PhaseIIIRefi),D164:M164)</f>
        <v>28737600.01644253</v>
      </c>
      <c r="Q185" s="300">
        <f>'Assumptions-Overall'!$Y$22</f>
        <v>6.25E-2</v>
      </c>
      <c r="R185" s="303">
        <f t="shared" si="106"/>
        <v>459801600.26308048</v>
      </c>
    </row>
    <row r="186" spans="2:18" x14ac:dyDescent="0.2">
      <c r="B186" s="4" t="s">
        <v>70</v>
      </c>
      <c r="C186" s="12"/>
      <c r="D186" s="242">
        <f>'CashFlow-Retail'!D166</f>
        <v>0</v>
      </c>
      <c r="E186" s="242">
        <f>'CashFlow-Retail'!E166</f>
        <v>0</v>
      </c>
      <c r="F186" s="242">
        <f>'CashFlow-Retail'!F166</f>
        <v>0</v>
      </c>
      <c r="G186" s="242">
        <f>'CashFlow-Retail'!G166</f>
        <v>0</v>
      </c>
      <c r="H186" s="242">
        <f>'CashFlow-Retail'!H166</f>
        <v>0</v>
      </c>
      <c r="I186" s="242">
        <f>'CashFlow-Retail'!I166</f>
        <v>0</v>
      </c>
      <c r="J186" s="242">
        <f>'CashFlow-Retail'!J166</f>
        <v>0</v>
      </c>
      <c r="K186" s="242">
        <f>'CashFlow-Retail'!K166</f>
        <v>0</v>
      </c>
      <c r="L186" s="242">
        <f>'CashFlow-Retail'!L166</f>
        <v>0</v>
      </c>
      <c r="M186" s="247">
        <f>'CashFlow-Retail'!M166</f>
        <v>157891782.6203514</v>
      </c>
      <c r="O186" s="4" t="str">
        <f t="shared" si="105"/>
        <v>Parking</v>
      </c>
      <c r="P186" s="240">
        <f>SUMIF(D$8:M$8,YEAR(PhaseIIIRefi),D165:M165)</f>
        <v>0</v>
      </c>
      <c r="Q186" s="300">
        <v>0.05</v>
      </c>
      <c r="R186" s="304">
        <f t="shared" si="106"/>
        <v>0</v>
      </c>
    </row>
    <row r="187" spans="2:18" x14ac:dyDescent="0.2">
      <c r="B187" s="4" t="s">
        <v>35</v>
      </c>
      <c r="C187" s="12"/>
      <c r="D187" s="242">
        <f>'CashFlow-Office'!D154</f>
        <v>0</v>
      </c>
      <c r="E187" s="242">
        <f>'CashFlow-Office'!E154</f>
        <v>0</v>
      </c>
      <c r="F187" s="242">
        <f>'CashFlow-Office'!F154</f>
        <v>0</v>
      </c>
      <c r="G187" s="242">
        <f>'CashFlow-Office'!G154</f>
        <v>0</v>
      </c>
      <c r="H187" s="242">
        <f>'CashFlow-Office'!H154</f>
        <v>0</v>
      </c>
      <c r="I187" s="242">
        <f>'CashFlow-Office'!I154</f>
        <v>0</v>
      </c>
      <c r="J187" s="242">
        <f>'CashFlow-Office'!J154</f>
        <v>0</v>
      </c>
      <c r="K187" s="242">
        <f>'CashFlow-Office'!K154</f>
        <v>0</v>
      </c>
      <c r="L187" s="242">
        <f>'CashFlow-Office'!L154</f>
        <v>0</v>
      </c>
      <c r="M187" s="247">
        <f>'CashFlow-Office'!M154</f>
        <v>0</v>
      </c>
      <c r="O187" s="4" t="str">
        <f t="shared" si="105"/>
        <v>Total Cash Flow from Operations</v>
      </c>
      <c r="P187" s="242">
        <f t="shared" ref="P187" si="107">SUM(P182:P186)</f>
        <v>38532832.991890088</v>
      </c>
      <c r="Q187" s="12"/>
      <c r="R187" s="303">
        <f>SUM(R182:R186)</f>
        <v>690162905.11408579</v>
      </c>
    </row>
    <row r="188" spans="2:18" x14ac:dyDescent="0.2">
      <c r="B188" s="4" t="s">
        <v>73</v>
      </c>
      <c r="C188" s="12"/>
      <c r="D188" s="242">
        <f>'CashFlow-Hotel'!D200</f>
        <v>0</v>
      </c>
      <c r="E188" s="242">
        <f>'CashFlow-Hotel'!E200</f>
        <v>0</v>
      </c>
      <c r="F188" s="242">
        <f>'CashFlow-Hotel'!F200</f>
        <v>0</v>
      </c>
      <c r="G188" s="242">
        <f>'CashFlow-Hotel'!G200</f>
        <v>0</v>
      </c>
      <c r="H188" s="242">
        <f>'CashFlow-Hotel'!H200</f>
        <v>0</v>
      </c>
      <c r="I188" s="242">
        <f>'CashFlow-Hotel'!I200</f>
        <v>0</v>
      </c>
      <c r="J188" s="242">
        <f>'CashFlow-Hotel'!J200</f>
        <v>0</v>
      </c>
      <c r="K188" s="242">
        <f>'CashFlow-Hotel'!K200</f>
        <v>0</v>
      </c>
      <c r="L188" s="242">
        <f>'CashFlow-Hotel'!L200</f>
        <v>0</v>
      </c>
      <c r="M188" s="247">
        <f>'CashFlow-Hotel'!M200</f>
        <v>472806068.15448701</v>
      </c>
      <c r="O188" s="4"/>
      <c r="P188" s="242"/>
      <c r="Q188" s="12"/>
      <c r="R188" s="247"/>
    </row>
    <row r="189" spans="2:18" x14ac:dyDescent="0.2">
      <c r="B189" s="4" t="s">
        <v>403</v>
      </c>
      <c r="C189" s="12"/>
      <c r="D189" s="240">
        <v>0</v>
      </c>
      <c r="E189" s="240">
        <v>0</v>
      </c>
      <c r="F189" s="240">
        <v>0</v>
      </c>
      <c r="G189" s="240">
        <v>0</v>
      </c>
      <c r="H189" s="240">
        <v>0</v>
      </c>
      <c r="I189" s="240">
        <v>0</v>
      </c>
      <c r="J189" s="240">
        <v>0</v>
      </c>
      <c r="K189" s="240">
        <v>0</v>
      </c>
      <c r="L189" s="240">
        <v>0</v>
      </c>
      <c r="M189" s="248">
        <v>0</v>
      </c>
      <c r="O189" s="4" t="s">
        <v>515</v>
      </c>
      <c r="P189" s="34"/>
      <c r="Q189" s="12"/>
      <c r="R189" s="305">
        <f>'Assumptions-Overall'!$R$9</f>
        <v>0.65</v>
      </c>
    </row>
    <row r="190" spans="2:18" x14ac:dyDescent="0.2">
      <c r="B190" s="4" t="s">
        <v>481</v>
      </c>
      <c r="C190" s="12"/>
      <c r="D190" s="242">
        <f>SUM(D183:D189)</f>
        <v>0</v>
      </c>
      <c r="E190" s="242">
        <f t="shared" ref="E190:M190" si="108">SUM(E183:E189)</f>
        <v>0</v>
      </c>
      <c r="F190" s="242">
        <f t="shared" si="108"/>
        <v>0</v>
      </c>
      <c r="G190" s="242">
        <f t="shared" si="108"/>
        <v>0</v>
      </c>
      <c r="H190" s="242">
        <f t="shared" si="108"/>
        <v>5497594.2730622534</v>
      </c>
      <c r="I190" s="242">
        <f t="shared" si="108"/>
        <v>5662522.1012541205</v>
      </c>
      <c r="J190" s="242">
        <f t="shared" si="108"/>
        <v>1944132.5880972478</v>
      </c>
      <c r="K190" s="242">
        <f t="shared" si="108"/>
        <v>2002456.5657401653</v>
      </c>
      <c r="L190" s="242">
        <f t="shared" si="108"/>
        <v>60426822.112615146</v>
      </c>
      <c r="M190" s="247">
        <f t="shared" si="108"/>
        <v>709624798.77051759</v>
      </c>
      <c r="O190" s="4" t="s">
        <v>516</v>
      </c>
      <c r="P190" s="34"/>
      <c r="Q190" s="12"/>
      <c r="R190" s="303">
        <f>R187*R189</f>
        <v>448605888.32415581</v>
      </c>
    </row>
    <row r="191" spans="2:18" x14ac:dyDescent="0.2">
      <c r="B191" s="4"/>
      <c r="C191" s="1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7"/>
      <c r="O191" s="4"/>
      <c r="P191" s="242"/>
      <c r="Q191" s="12"/>
      <c r="R191" s="303"/>
    </row>
    <row r="192" spans="2:18" ht="12.75" thickBot="1" x14ac:dyDescent="0.25">
      <c r="B192" s="4" t="s">
        <v>315</v>
      </c>
      <c r="C192" s="12"/>
      <c r="D192" s="242">
        <f>D166+D168+D178+D180+D190</f>
        <v>0</v>
      </c>
      <c r="E192" s="242">
        <f t="shared" ref="E192:M192" si="109">E166+E168+E178+E180+E190</f>
        <v>0</v>
      </c>
      <c r="F192" s="242">
        <f t="shared" si="109"/>
        <v>0</v>
      </c>
      <c r="G192" s="242">
        <f t="shared" si="109"/>
        <v>0</v>
      </c>
      <c r="H192" s="242">
        <f t="shared" si="109"/>
        <v>-11172623.215441003</v>
      </c>
      <c r="I192" s="242">
        <f t="shared" si="109"/>
        <v>-11007695.387249136</v>
      </c>
      <c r="J192" s="242">
        <f t="shared" si="109"/>
        <v>-188315298.22606513</v>
      </c>
      <c r="K192" s="242">
        <f t="shared" si="109"/>
        <v>-177141348.24391925</v>
      </c>
      <c r="L192" s="242">
        <f t="shared" si="109"/>
        <v>98265442.327054262</v>
      </c>
      <c r="M192" s="247">
        <f t="shared" si="109"/>
        <v>748157631.76240766</v>
      </c>
      <c r="O192" s="4" t="s">
        <v>519</v>
      </c>
      <c r="P192" s="242"/>
      <c r="Q192" s="12"/>
      <c r="R192" s="306">
        <f>'Assumptions-Overall'!$R$19</f>
        <v>1.2</v>
      </c>
    </row>
    <row r="193" spans="2:18" ht="12.75" thickBot="1" x14ac:dyDescent="0.25">
      <c r="B193" s="236" t="s">
        <v>320</v>
      </c>
      <c r="C193" s="298">
        <f>IFERROR(IRR(D192:M192),"n/a")</f>
        <v>0.35467262881820605</v>
      </c>
      <c r="D193" s="242"/>
      <c r="E193" s="242"/>
      <c r="F193" s="242"/>
      <c r="G193" s="242"/>
      <c r="H193" s="242"/>
      <c r="I193" s="242"/>
      <c r="J193" s="242"/>
      <c r="K193" s="242"/>
      <c r="L193" s="242"/>
      <c r="M193" s="247"/>
      <c r="O193" s="4" t="s">
        <v>520</v>
      </c>
      <c r="P193" s="242"/>
      <c r="Q193" s="12"/>
      <c r="R193" s="303">
        <f>-PV('Assumptions-Overall'!$R$15/12,'Assumptions-Overall'!$R$27*12,'CashFlow-Combined'!P187/12/'CashFlow-Combined'!R192,0)</f>
        <v>528116984.66487914</v>
      </c>
    </row>
    <row r="194" spans="2:18" x14ac:dyDescent="0.2">
      <c r="B194" s="4"/>
      <c r="C194" s="254"/>
      <c r="D194" s="242"/>
      <c r="E194" s="242"/>
      <c r="F194" s="242"/>
      <c r="G194" s="242"/>
      <c r="H194" s="242"/>
      <c r="I194" s="242"/>
      <c r="J194" s="242"/>
      <c r="K194" s="242"/>
      <c r="L194" s="242"/>
      <c r="M194" s="247"/>
      <c r="O194" s="4"/>
      <c r="P194" s="242"/>
      <c r="Q194" s="12"/>
      <c r="R194" s="303"/>
    </row>
    <row r="195" spans="2:18" x14ac:dyDescent="0.2">
      <c r="B195" s="53" t="s">
        <v>91</v>
      </c>
      <c r="C195" s="254"/>
      <c r="D195" s="242"/>
      <c r="E195" s="242"/>
      <c r="F195" s="242"/>
      <c r="G195" s="242"/>
      <c r="H195" s="242"/>
      <c r="I195" s="242"/>
      <c r="J195" s="242"/>
      <c r="K195" s="242"/>
      <c r="L195" s="242"/>
      <c r="M195" s="247"/>
      <c r="O195" s="4" t="s">
        <v>521</v>
      </c>
      <c r="P195" s="242"/>
      <c r="Q195" s="12"/>
      <c r="R195" s="303">
        <f>MIN(R190,R193)</f>
        <v>448605888.32415581</v>
      </c>
    </row>
    <row r="196" spans="2:18" x14ac:dyDescent="0.2">
      <c r="B196" s="4" t="s">
        <v>503</v>
      </c>
      <c r="C196" s="254"/>
      <c r="D196" s="242">
        <f t="shared" ref="D196:M196" ca="1" si="110">-(D$8=YEAR(PhaseIIIPreconBegin))*$P177</f>
        <v>0</v>
      </c>
      <c r="E196" s="242">
        <f t="shared" ca="1" si="110"/>
        <v>0</v>
      </c>
      <c r="F196" s="242">
        <f t="shared" ca="1" si="110"/>
        <v>0</v>
      </c>
      <c r="G196" s="242">
        <f t="shared" ca="1" si="110"/>
        <v>0</v>
      </c>
      <c r="H196" s="242">
        <f t="shared" ca="1" si="110"/>
        <v>-3126104.5570376976</v>
      </c>
      <c r="I196" s="242">
        <f t="shared" ca="1" si="110"/>
        <v>0</v>
      </c>
      <c r="J196" s="242">
        <f t="shared" ca="1" si="110"/>
        <v>0</v>
      </c>
      <c r="K196" s="242">
        <f t="shared" ca="1" si="110"/>
        <v>0</v>
      </c>
      <c r="L196" s="242">
        <f t="shared" ca="1" si="110"/>
        <v>0</v>
      </c>
      <c r="M196" s="247">
        <f t="shared" ca="1" si="110"/>
        <v>0</v>
      </c>
      <c r="O196" s="4" t="s">
        <v>522</v>
      </c>
      <c r="P196" s="242"/>
      <c r="Q196" s="12"/>
      <c r="R196" s="303">
        <f>PMT('Assumptions-Overall'!$R$15/12,'Assumptions-Overall'!$R$27*12,-'CashFlow-Combined'!R195,0)*12</f>
        <v>27276241.621828716</v>
      </c>
    </row>
    <row r="197" spans="2:18" x14ac:dyDescent="0.2">
      <c r="B197" s="4" t="s">
        <v>499</v>
      </c>
      <c r="C197" s="254"/>
      <c r="D197" s="242">
        <f ca="1">MAX(-D192-D196,0)</f>
        <v>0</v>
      </c>
      <c r="E197" s="242">
        <f t="shared" ref="E197" ca="1" si="111">MAX(-E192-E196,0)</f>
        <v>0</v>
      </c>
      <c r="F197" s="242">
        <f t="shared" ref="F197" ca="1" si="112">MAX(-F192-F196,0)</f>
        <v>0</v>
      </c>
      <c r="G197" s="242">
        <f t="shared" ref="G197" ca="1" si="113">MAX(-G192-G196,0)</f>
        <v>0</v>
      </c>
      <c r="H197" s="242">
        <f t="shared" ref="H197" ca="1" si="114">MAX(-H192-H196,0)</f>
        <v>14298727.772478702</v>
      </c>
      <c r="I197" s="242">
        <f t="shared" ref="I197" ca="1" si="115">MAX(-I192-I196,0)</f>
        <v>11007695.387249136</v>
      </c>
      <c r="J197" s="242">
        <f t="shared" ref="J197" ca="1" si="116">MAX(-J192-J196,0)</f>
        <v>188315298.22606513</v>
      </c>
      <c r="K197" s="242">
        <f t="shared" ref="K197" ca="1" si="117">MAX(-K192-K196,0)</f>
        <v>177141348.24391925</v>
      </c>
      <c r="L197" s="242">
        <f t="shared" ref="L197" ca="1" si="118">MAX(-L192-L196,0)</f>
        <v>0</v>
      </c>
      <c r="M197" s="247">
        <f t="shared" ref="M197" ca="1" si="119">MAX(-M192-M196,0)</f>
        <v>0</v>
      </c>
      <c r="O197" s="4" t="s">
        <v>523</v>
      </c>
      <c r="P197" s="12"/>
      <c r="Q197" s="12"/>
      <c r="R197" s="247">
        <f>R195*'Assumptions-Overall'!$R$23</f>
        <v>4486058.8832415584</v>
      </c>
    </row>
    <row r="198" spans="2:18" ht="12.75" thickBot="1" x14ac:dyDescent="0.25">
      <c r="B198" s="4" t="s">
        <v>500</v>
      </c>
      <c r="C198" s="254"/>
      <c r="D198" s="242">
        <f ca="1">+IF(SUM($C198:C198)&lt;$P162,MIN(D197,$P162-SUM($C198:C198)),0)</f>
        <v>0</v>
      </c>
      <c r="E198" s="242">
        <f ca="1">+IF(SUM($C198:D198)&lt;$P162,MIN(E197,$P162-SUM($C198:D198)),0)</f>
        <v>0</v>
      </c>
      <c r="F198" s="242">
        <f ca="1">+IF(SUM($C198:E198)&lt;$P162,MIN(F197,$P162-SUM($C198:E198)),0)</f>
        <v>0</v>
      </c>
      <c r="G198" s="242">
        <f ca="1">+IF(SUM($C198:F198)&lt;$P162,MIN(G197,$P162-SUM($C198:F198)),0)</f>
        <v>0</v>
      </c>
      <c r="H198" s="242">
        <f ca="1">+IF(SUM($C198:G198)&lt;$P162,MIN(H197,$P162-SUM($C198:G198)),0)</f>
        <v>14298727.772478702</v>
      </c>
      <c r="I198" s="242">
        <f ca="1">+IF(SUM($C198:H198)&lt;$P162,MIN(I197,$P162-SUM($C198:H198)),0)</f>
        <v>11007695.387249136</v>
      </c>
      <c r="J198" s="242">
        <f ca="1">+IF(SUM($C198:I198)&lt;$P162,MIN(J197,$P162-SUM($C198:I198)),0)</f>
        <v>52846190.766214579</v>
      </c>
      <c r="K198" s="242">
        <f ca="1">+IF(SUM($C198:J198)&lt;$P162,MIN(K197,$P162-SUM($C198:J198)),0)</f>
        <v>0</v>
      </c>
      <c r="L198" s="242">
        <f ca="1">+IF(SUM($C198:K198)&lt;$P162,MIN(L197,$P162-SUM($C198:K198)),0)</f>
        <v>0</v>
      </c>
      <c r="M198" s="247">
        <f ca="1">+IF(SUM($C198:L198)&lt;$P162,MIN(M197,$P162-SUM($C198:L198)),0)</f>
        <v>0</v>
      </c>
      <c r="O198" s="6" t="s">
        <v>525</v>
      </c>
      <c r="P198" s="15"/>
      <c r="Q198" s="15"/>
      <c r="R198" s="307">
        <f>-PV('Assumptions-Overall'!$R$15/12,'Assumptions-Overall'!$R$27*12-(YEAR('Assumptions-Overall'!$C$30)-YEAR(PhaseIIIRefi)+1),'CashFlow-Combined'!R196/12,0)</f>
        <v>448015140.27021462</v>
      </c>
    </row>
    <row r="199" spans="2:18" x14ac:dyDescent="0.2">
      <c r="B199" s="4" t="s">
        <v>501</v>
      </c>
      <c r="C199" s="254"/>
      <c r="D199" s="242">
        <f ca="1">+IF(SUM($C199:C199)&lt;$P163,MIN(D197-D198,$P163-SUM($C199:C199)),0)</f>
        <v>0</v>
      </c>
      <c r="E199" s="242">
        <f ca="1">+IF(SUM($C199:D199)&lt;$P163,MIN(E197-E198,$P163-SUM($C199:D199)),0)</f>
        <v>0</v>
      </c>
      <c r="F199" s="242">
        <f ca="1">+IF(SUM($C199:E199)&lt;$P163,MIN(F197-F198,$P163-SUM($C199:E199)),0)</f>
        <v>0</v>
      </c>
      <c r="G199" s="242">
        <f ca="1">+IF(SUM($C199:F199)&lt;$P163,MIN(G197-G198,$P163-SUM($C199:F199)),0)</f>
        <v>0</v>
      </c>
      <c r="H199" s="242">
        <f ca="1">+IF(SUM($C199:G199)&lt;$P163,MIN(H197-H198,$P163-SUM($C199:G199)),0)</f>
        <v>0</v>
      </c>
      <c r="I199" s="242">
        <f ca="1">+IF(SUM($C199:H199)&lt;$P163,MIN(I197-I198,$P163-SUM($C199:H199)),0)</f>
        <v>0</v>
      </c>
      <c r="J199" s="242">
        <f ca="1">+IF(SUM($C199:I199)&lt;$P163,MIN(J197-J198,$P163-SUM($C199:I199)),0)</f>
        <v>78152613.925942451</v>
      </c>
      <c r="K199" s="242">
        <f ca="1">+IF(SUM($C199:J199)&lt;$P163,MIN(K197-K198,$P163-SUM($C199:J199)),0)</f>
        <v>0</v>
      </c>
      <c r="L199" s="242">
        <f ca="1">+IF(SUM($C199:K199)&lt;$P163,MIN(L197-L198,$P163-SUM($C199:K199)),0)</f>
        <v>0</v>
      </c>
      <c r="M199" s="247">
        <f ca="1">+IF(SUM($C199:L199)&lt;$P163,MIN(M197-M198,$P163-SUM($C199:L199)),0)</f>
        <v>0</v>
      </c>
    </row>
    <row r="200" spans="2:18" x14ac:dyDescent="0.2">
      <c r="B200" s="4" t="s">
        <v>502</v>
      </c>
      <c r="C200" s="254"/>
      <c r="D200" s="242">
        <f t="shared" ref="D200:M200" ca="1" si="120">D197-D198-D199</f>
        <v>0</v>
      </c>
      <c r="E200" s="242">
        <f t="shared" ca="1" si="120"/>
        <v>0</v>
      </c>
      <c r="F200" s="242">
        <f t="shared" ca="1" si="120"/>
        <v>0</v>
      </c>
      <c r="G200" s="242">
        <f t="shared" ca="1" si="120"/>
        <v>0</v>
      </c>
      <c r="H200" s="242">
        <f t="shared" ca="1" si="120"/>
        <v>0</v>
      </c>
      <c r="I200" s="242">
        <f t="shared" ca="1" si="120"/>
        <v>0</v>
      </c>
      <c r="J200" s="242">
        <f t="shared" ca="1" si="120"/>
        <v>57316493.533908099</v>
      </c>
      <c r="K200" s="242">
        <f t="shared" ca="1" si="120"/>
        <v>177141348.24391925</v>
      </c>
      <c r="L200" s="242">
        <f t="shared" ca="1" si="120"/>
        <v>0</v>
      </c>
      <c r="M200" s="247">
        <f t="shared" ca="1" si="120"/>
        <v>0</v>
      </c>
    </row>
    <row r="201" spans="2:18" x14ac:dyDescent="0.2">
      <c r="B201" s="4"/>
      <c r="C201" s="254"/>
      <c r="D201" s="242"/>
      <c r="E201" s="242"/>
      <c r="F201" s="242"/>
      <c r="G201" s="242"/>
      <c r="H201" s="242"/>
      <c r="I201" s="242"/>
      <c r="J201" s="242"/>
      <c r="K201" s="242"/>
      <c r="L201" s="242"/>
      <c r="M201" s="247"/>
    </row>
    <row r="202" spans="2:18" x14ac:dyDescent="0.2">
      <c r="B202" s="4" t="s">
        <v>517</v>
      </c>
      <c r="C202" s="254"/>
      <c r="D202" s="242">
        <f t="shared" ref="D202:M202" si="121">(D$8&gt;=YEAR(PhaseIIIComplete))*SUM(D184:D185)</f>
        <v>0</v>
      </c>
      <c r="E202" s="242">
        <f t="shared" si="121"/>
        <v>0</v>
      </c>
      <c r="F202" s="242">
        <f t="shared" si="121"/>
        <v>0</v>
      </c>
      <c r="G202" s="242">
        <f t="shared" si="121"/>
        <v>0</v>
      </c>
      <c r="H202" s="242">
        <f t="shared" si="121"/>
        <v>0</v>
      </c>
      <c r="I202" s="242">
        <f t="shared" si="121"/>
        <v>0</v>
      </c>
      <c r="J202" s="242">
        <f t="shared" si="121"/>
        <v>0</v>
      </c>
      <c r="K202" s="242">
        <f t="shared" si="121"/>
        <v>0</v>
      </c>
      <c r="L202" s="242">
        <f t="shared" si="121"/>
        <v>60426822.112615146</v>
      </c>
      <c r="M202" s="247">
        <f t="shared" si="121"/>
        <v>0</v>
      </c>
    </row>
    <row r="203" spans="2:18" x14ac:dyDescent="0.2">
      <c r="B203" s="4"/>
      <c r="C203" s="254"/>
      <c r="D203" s="242"/>
      <c r="E203" s="242"/>
      <c r="F203" s="242"/>
      <c r="G203" s="242"/>
      <c r="H203" s="242"/>
      <c r="I203" s="242"/>
      <c r="J203" s="242"/>
      <c r="K203" s="242"/>
      <c r="L203" s="242"/>
      <c r="M203" s="247"/>
    </row>
    <row r="204" spans="2:18" x14ac:dyDescent="0.2">
      <c r="B204" s="299" t="s">
        <v>94</v>
      </c>
      <c r="C204" s="254"/>
      <c r="D204" s="242"/>
      <c r="E204" s="242"/>
      <c r="F204" s="242"/>
      <c r="G204" s="242"/>
      <c r="H204" s="242"/>
      <c r="I204" s="242"/>
      <c r="J204" s="242"/>
      <c r="K204" s="242"/>
      <c r="L204" s="242"/>
      <c r="M204" s="247"/>
    </row>
    <row r="205" spans="2:18" x14ac:dyDescent="0.2">
      <c r="B205" s="4" t="s">
        <v>505</v>
      </c>
      <c r="C205" s="254"/>
      <c r="D205" s="242">
        <f>C210</f>
        <v>0</v>
      </c>
      <c r="E205" s="242">
        <f t="shared" ref="E205:M205" ca="1" si="122">D210</f>
        <v>0</v>
      </c>
      <c r="F205" s="242">
        <f t="shared" ca="1" si="122"/>
        <v>0</v>
      </c>
      <c r="G205" s="242">
        <f t="shared" ca="1" si="122"/>
        <v>0</v>
      </c>
      <c r="H205" s="242">
        <f t="shared" ca="1" si="122"/>
        <v>0</v>
      </c>
      <c r="I205" s="242">
        <f t="shared" ca="1" si="122"/>
        <v>0</v>
      </c>
      <c r="J205" s="242">
        <f t="shared" ca="1" si="122"/>
        <v>0</v>
      </c>
      <c r="K205" s="242">
        <f t="shared" ca="1" si="122"/>
        <v>57316493.533908099</v>
      </c>
      <c r="L205" s="242">
        <f t="shared" ca="1" si="122"/>
        <v>237390262.36694819</v>
      </c>
      <c r="M205" s="247">
        <f t="shared" ca="1" si="122"/>
        <v>0</v>
      </c>
    </row>
    <row r="206" spans="2:18" x14ac:dyDescent="0.2">
      <c r="B206" s="4" t="s">
        <v>506</v>
      </c>
      <c r="C206" s="254"/>
      <c r="D206" s="242">
        <f>D205*(((1+'Assumptions-Overall'!$P$15/12)^12)-1)</f>
        <v>0</v>
      </c>
      <c r="E206" s="242">
        <f ca="1">E205*(((1+'Assumptions-Overall'!$P$15/12)^12)-1)</f>
        <v>0</v>
      </c>
      <c r="F206" s="242">
        <f ca="1">F205*(((1+'Assumptions-Overall'!$P$15/12)^12)-1)</f>
        <v>0</v>
      </c>
      <c r="G206" s="242">
        <f ca="1">G205*(((1+'Assumptions-Overall'!$P$15/12)^12)-1)</f>
        <v>0</v>
      </c>
      <c r="H206" s="242">
        <f ca="1">H205*(((1+'Assumptions-Overall'!$P$15/12)^12)-1)</f>
        <v>0</v>
      </c>
      <c r="I206" s="242">
        <f ca="1">I205*(((1+'Assumptions-Overall'!$P$15/12)^12)-1)</f>
        <v>0</v>
      </c>
      <c r="J206" s="242">
        <f ca="1">J205*(((1+'Assumptions-Overall'!$P$15/12)^12)-1)</f>
        <v>0</v>
      </c>
      <c r="K206" s="242">
        <f ca="1">K205*(((1+'Assumptions-Overall'!$P$15/12)^12)-1)</f>
        <v>2932420.5891208402</v>
      </c>
      <c r="L206" s="242">
        <f ca="1">L205*(((1+'Assumptions-Overall'!$P$15/12)^12)-1)</f>
        <v>12145336.361335708</v>
      </c>
      <c r="M206" s="247">
        <f ca="1">M205*(((1+'Assumptions-Overall'!$P$15/12)^12)-1)</f>
        <v>0</v>
      </c>
    </row>
    <row r="207" spans="2:18" x14ac:dyDescent="0.2">
      <c r="B207" s="4" t="s">
        <v>507</v>
      </c>
      <c r="C207" s="254"/>
      <c r="D207" s="242">
        <f ca="1">D200</f>
        <v>0</v>
      </c>
      <c r="E207" s="242">
        <f t="shared" ref="E207:M207" ca="1" si="123">E200</f>
        <v>0</v>
      </c>
      <c r="F207" s="242">
        <f t="shared" ca="1" si="123"/>
        <v>0</v>
      </c>
      <c r="G207" s="242">
        <f t="shared" ca="1" si="123"/>
        <v>0</v>
      </c>
      <c r="H207" s="242">
        <f t="shared" ca="1" si="123"/>
        <v>0</v>
      </c>
      <c r="I207" s="242">
        <f t="shared" ca="1" si="123"/>
        <v>0</v>
      </c>
      <c r="J207" s="242">
        <f t="shared" ca="1" si="123"/>
        <v>57316493.533908099</v>
      </c>
      <c r="K207" s="242">
        <f t="shared" ca="1" si="123"/>
        <v>177141348.24391925</v>
      </c>
      <c r="L207" s="242">
        <f t="shared" ca="1" si="123"/>
        <v>0</v>
      </c>
      <c r="M207" s="247">
        <f t="shared" ca="1" si="123"/>
        <v>0</v>
      </c>
    </row>
    <row r="208" spans="2:18" x14ac:dyDescent="0.2">
      <c r="B208" s="4" t="s">
        <v>518</v>
      </c>
      <c r="C208" s="254"/>
      <c r="D208" s="242">
        <f>-(D205&lt;&gt;0)*D202*$Q164/SUM($Q163:$Q164)</f>
        <v>0</v>
      </c>
      <c r="E208" s="242">
        <f t="shared" ref="E208:M208" ca="1" si="124">-(E205&lt;&gt;0)*E202*$Q164/SUM($Q163:$Q164)</f>
        <v>0</v>
      </c>
      <c r="F208" s="242">
        <f t="shared" ca="1" si="124"/>
        <v>0</v>
      </c>
      <c r="G208" s="242">
        <f t="shared" ca="1" si="124"/>
        <v>0</v>
      </c>
      <c r="H208" s="242">
        <f t="shared" ca="1" si="124"/>
        <v>0</v>
      </c>
      <c r="I208" s="242">
        <f t="shared" ca="1" si="124"/>
        <v>0</v>
      </c>
      <c r="J208" s="242">
        <f t="shared" ca="1" si="124"/>
        <v>0</v>
      </c>
      <c r="K208" s="242">
        <f t="shared" ca="1" si="124"/>
        <v>0</v>
      </c>
      <c r="L208" s="242">
        <f t="shared" ca="1" si="124"/>
        <v>-45320116.584461354</v>
      </c>
      <c r="M208" s="247">
        <f t="shared" ca="1" si="124"/>
        <v>0</v>
      </c>
    </row>
    <row r="209" spans="2:13" x14ac:dyDescent="0.2">
      <c r="B209" s="4" t="s">
        <v>509</v>
      </c>
      <c r="C209" s="254"/>
      <c r="D209" s="242">
        <f t="shared" ref="D209:M209" ca="1" si="125">-(D$8=YEAR(PhaseIIIRefi-1))*SUM(D205:D208)</f>
        <v>0</v>
      </c>
      <c r="E209" s="242">
        <f t="shared" ca="1" si="125"/>
        <v>0</v>
      </c>
      <c r="F209" s="242">
        <f t="shared" ca="1" si="125"/>
        <v>0</v>
      </c>
      <c r="G209" s="242">
        <f t="shared" ca="1" si="125"/>
        <v>0</v>
      </c>
      <c r="H209" s="242">
        <f t="shared" ca="1" si="125"/>
        <v>0</v>
      </c>
      <c r="I209" s="242">
        <f t="shared" ca="1" si="125"/>
        <v>0</v>
      </c>
      <c r="J209" s="242">
        <f t="shared" ca="1" si="125"/>
        <v>0</v>
      </c>
      <c r="K209" s="242">
        <f t="shared" ca="1" si="125"/>
        <v>0</v>
      </c>
      <c r="L209" s="242">
        <f t="shared" ca="1" si="125"/>
        <v>-204215482.14382252</v>
      </c>
      <c r="M209" s="247">
        <f t="shared" ca="1" si="125"/>
        <v>0</v>
      </c>
    </row>
    <row r="210" spans="2:13" x14ac:dyDescent="0.2">
      <c r="B210" s="4" t="s">
        <v>508</v>
      </c>
      <c r="C210" s="254"/>
      <c r="D210" s="242">
        <f ca="1">SUM(D205:D209)</f>
        <v>0</v>
      </c>
      <c r="E210" s="242">
        <f t="shared" ref="E210" ca="1" si="126">SUM(E205:E209)</f>
        <v>0</v>
      </c>
      <c r="F210" s="242">
        <f t="shared" ref="F210" ca="1" si="127">SUM(F205:F209)</f>
        <v>0</v>
      </c>
      <c r="G210" s="242">
        <f t="shared" ref="G210" ca="1" si="128">SUM(G205:G209)</f>
        <v>0</v>
      </c>
      <c r="H210" s="242">
        <f t="shared" ref="H210" ca="1" si="129">SUM(H205:H209)</f>
        <v>0</v>
      </c>
      <c r="I210" s="242">
        <f t="shared" ref="I210" ca="1" si="130">SUM(I205:I209)</f>
        <v>0</v>
      </c>
      <c r="J210" s="242">
        <f t="shared" ref="J210" ca="1" si="131">SUM(J205:J209)</f>
        <v>57316493.533908099</v>
      </c>
      <c r="K210" s="242">
        <f t="shared" ref="K210" ca="1" si="132">SUM(K205:K209)</f>
        <v>237390262.36694819</v>
      </c>
      <c r="L210" s="242">
        <f t="shared" ref="L210" ca="1" si="133">SUM(L205:L209)</f>
        <v>0</v>
      </c>
      <c r="M210" s="247">
        <f t="shared" ref="M210" ca="1" si="134">SUM(M205:M209)</f>
        <v>0</v>
      </c>
    </row>
    <row r="211" spans="2:13" x14ac:dyDescent="0.2">
      <c r="B211" s="4"/>
      <c r="C211" s="254"/>
      <c r="D211" s="242"/>
      <c r="E211" s="242"/>
      <c r="F211" s="242"/>
      <c r="G211" s="242"/>
      <c r="H211" s="242"/>
      <c r="I211" s="242"/>
      <c r="J211" s="242"/>
      <c r="K211" s="242"/>
      <c r="L211" s="242"/>
      <c r="M211" s="247"/>
    </row>
    <row r="212" spans="2:13" x14ac:dyDescent="0.2">
      <c r="B212" s="299" t="s">
        <v>95</v>
      </c>
      <c r="C212" s="254"/>
      <c r="D212" s="242"/>
      <c r="E212" s="242"/>
      <c r="F212" s="242"/>
      <c r="G212" s="242"/>
      <c r="H212" s="242"/>
      <c r="I212" s="242"/>
      <c r="J212" s="242"/>
      <c r="K212" s="242"/>
      <c r="L212" s="242"/>
      <c r="M212" s="247"/>
    </row>
    <row r="213" spans="2:13" x14ac:dyDescent="0.2">
      <c r="B213" s="4" t="s">
        <v>505</v>
      </c>
      <c r="C213" s="254"/>
      <c r="D213" s="242">
        <f>C218</f>
        <v>0</v>
      </c>
      <c r="E213" s="242">
        <f t="shared" ref="E213:M213" ca="1" si="135">D218</f>
        <v>0</v>
      </c>
      <c r="F213" s="242">
        <f t="shared" ca="1" si="135"/>
        <v>0</v>
      </c>
      <c r="G213" s="242">
        <f t="shared" ca="1" si="135"/>
        <v>0</v>
      </c>
      <c r="H213" s="242">
        <f t="shared" ca="1" si="135"/>
        <v>0</v>
      </c>
      <c r="I213" s="242">
        <f t="shared" ca="1" si="135"/>
        <v>0</v>
      </c>
      <c r="J213" s="242">
        <f t="shared" ca="1" si="135"/>
        <v>0</v>
      </c>
      <c r="K213" s="242">
        <f t="shared" ca="1" si="135"/>
        <v>78152613.925942451</v>
      </c>
      <c r="L213" s="242">
        <f t="shared" ca="1" si="135"/>
        <v>88064321.541992307</v>
      </c>
      <c r="M213" s="247">
        <f t="shared" ca="1" si="135"/>
        <v>0</v>
      </c>
    </row>
    <row r="214" spans="2:13" x14ac:dyDescent="0.2">
      <c r="B214" s="4" t="s">
        <v>506</v>
      </c>
      <c r="C214" s="254"/>
      <c r="D214" s="242">
        <f>D213*(((1+'Assumptions-Overall'!$P$16/12)^12)-1)</f>
        <v>0</v>
      </c>
      <c r="E214" s="242">
        <f ca="1">E213*(((1+'Assumptions-Overall'!$P$16/12)^12)-1)</f>
        <v>0</v>
      </c>
      <c r="F214" s="242">
        <f ca="1">F213*(((1+'Assumptions-Overall'!$P$16/12)^12)-1)</f>
        <v>0</v>
      </c>
      <c r="G214" s="242">
        <f ca="1">G213*(((1+'Assumptions-Overall'!$P$16/12)^12)-1)</f>
        <v>0</v>
      </c>
      <c r="H214" s="242">
        <f ca="1">H213*(((1+'Assumptions-Overall'!$P$16/12)^12)-1)</f>
        <v>0</v>
      </c>
      <c r="I214" s="242">
        <f ca="1">I213*(((1+'Assumptions-Overall'!$P$16/12)^12)-1)</f>
        <v>0</v>
      </c>
      <c r="J214" s="242">
        <f ca="1">J213*(((1+'Assumptions-Overall'!$P$16/12)^12)-1)</f>
        <v>0</v>
      </c>
      <c r="K214" s="242">
        <f ca="1">K213*(((1+'Assumptions-Overall'!$P$16/12)^12)-1)</f>
        <v>9911707.6160498522</v>
      </c>
      <c r="L214" s="242">
        <f ca="1">L213*(((1+'Assumptions-Overall'!$P$16/12)^12)-1)</f>
        <v>11168760.233114649</v>
      </c>
      <c r="M214" s="247">
        <f ca="1">M213*(((1+'Assumptions-Overall'!$P$16/12)^12)-1)</f>
        <v>0</v>
      </c>
    </row>
    <row r="215" spans="2:13" x14ac:dyDescent="0.2">
      <c r="B215" s="4" t="s">
        <v>507</v>
      </c>
      <c r="C215" s="254"/>
      <c r="D215" s="242">
        <f ca="1">D199</f>
        <v>0</v>
      </c>
      <c r="E215" s="242">
        <f t="shared" ref="E215:M215" ca="1" si="136">E199</f>
        <v>0</v>
      </c>
      <c r="F215" s="242">
        <f t="shared" ca="1" si="136"/>
        <v>0</v>
      </c>
      <c r="G215" s="242">
        <f t="shared" ca="1" si="136"/>
        <v>0</v>
      </c>
      <c r="H215" s="242">
        <f t="shared" ca="1" si="136"/>
        <v>0</v>
      </c>
      <c r="I215" s="242">
        <f t="shared" ca="1" si="136"/>
        <v>0</v>
      </c>
      <c r="J215" s="242">
        <f t="shared" ca="1" si="136"/>
        <v>78152613.925942451</v>
      </c>
      <c r="K215" s="242">
        <f t="shared" ca="1" si="136"/>
        <v>0</v>
      </c>
      <c r="L215" s="242">
        <f t="shared" ca="1" si="136"/>
        <v>0</v>
      </c>
      <c r="M215" s="247">
        <f t="shared" ca="1" si="136"/>
        <v>0</v>
      </c>
    </row>
    <row r="216" spans="2:13" x14ac:dyDescent="0.2">
      <c r="B216" s="4" t="s">
        <v>518</v>
      </c>
      <c r="C216" s="254"/>
      <c r="D216" s="242">
        <f>-(D213&lt;&gt;0)*D202*$Q163/SUM($Q163:$Q164)</f>
        <v>0</v>
      </c>
      <c r="E216" s="242">
        <f t="shared" ref="E216:M216" ca="1" si="137">-(E213&lt;&gt;0)*E202*$Q163/SUM($Q163:$Q164)</f>
        <v>0</v>
      </c>
      <c r="F216" s="242">
        <f t="shared" ca="1" si="137"/>
        <v>0</v>
      </c>
      <c r="G216" s="242">
        <f t="shared" ca="1" si="137"/>
        <v>0</v>
      </c>
      <c r="H216" s="242">
        <f t="shared" ca="1" si="137"/>
        <v>0</v>
      </c>
      <c r="I216" s="297">
        <f t="shared" ca="1" si="137"/>
        <v>0</v>
      </c>
      <c r="J216" s="242">
        <f t="shared" ca="1" si="137"/>
        <v>0</v>
      </c>
      <c r="K216" s="242">
        <f t="shared" ca="1" si="137"/>
        <v>0</v>
      </c>
      <c r="L216" s="242">
        <f t="shared" ca="1" si="137"/>
        <v>-15106705.528153786</v>
      </c>
      <c r="M216" s="247">
        <f t="shared" ca="1" si="137"/>
        <v>0</v>
      </c>
    </row>
    <row r="217" spans="2:13" x14ac:dyDescent="0.2">
      <c r="B217" s="4" t="s">
        <v>509</v>
      </c>
      <c r="C217" s="254"/>
      <c r="D217" s="242">
        <f t="shared" ref="D217:M217" ca="1" si="138">-(D$8=YEAR(PhaseIIIRefi-1))*SUM(D213:D216)</f>
        <v>0</v>
      </c>
      <c r="E217" s="242">
        <f t="shared" ca="1" si="138"/>
        <v>0</v>
      </c>
      <c r="F217" s="242">
        <f t="shared" ca="1" si="138"/>
        <v>0</v>
      </c>
      <c r="G217" s="242">
        <f t="shared" ca="1" si="138"/>
        <v>0</v>
      </c>
      <c r="H217" s="242">
        <f t="shared" ca="1" si="138"/>
        <v>0</v>
      </c>
      <c r="I217" s="242">
        <f t="shared" ca="1" si="138"/>
        <v>0</v>
      </c>
      <c r="J217" s="242">
        <f t="shared" ca="1" si="138"/>
        <v>0</v>
      </c>
      <c r="K217" s="242">
        <f t="shared" ca="1" si="138"/>
        <v>0</v>
      </c>
      <c r="L217" s="242">
        <f t="shared" ca="1" si="138"/>
        <v>-84126376.24695316</v>
      </c>
      <c r="M217" s="247">
        <f t="shared" ca="1" si="138"/>
        <v>0</v>
      </c>
    </row>
    <row r="218" spans="2:13" x14ac:dyDescent="0.2">
      <c r="B218" s="4" t="s">
        <v>508</v>
      </c>
      <c r="C218" s="254"/>
      <c r="D218" s="242">
        <f ca="1">SUM(D213:D217)</f>
        <v>0</v>
      </c>
      <c r="E218" s="242">
        <f t="shared" ref="E218" ca="1" si="139">SUM(E213:E217)</f>
        <v>0</v>
      </c>
      <c r="F218" s="242">
        <f t="shared" ref="F218" ca="1" si="140">SUM(F213:F217)</f>
        <v>0</v>
      </c>
      <c r="G218" s="242">
        <f t="shared" ref="G218" ca="1" si="141">SUM(G213:G217)</f>
        <v>0</v>
      </c>
      <c r="H218" s="242">
        <f t="shared" ref="H218" ca="1" si="142">SUM(H213:H217)</f>
        <v>0</v>
      </c>
      <c r="I218" s="242">
        <f t="shared" ref="I218" ca="1" si="143">SUM(I213:I217)</f>
        <v>0</v>
      </c>
      <c r="J218" s="242">
        <f t="shared" ref="J218" ca="1" si="144">SUM(J213:J217)</f>
        <v>78152613.925942451</v>
      </c>
      <c r="K218" s="242">
        <f t="shared" ref="K218" ca="1" si="145">SUM(K213:K217)</f>
        <v>88064321.541992307</v>
      </c>
      <c r="L218" s="242">
        <f t="shared" ref="L218" ca="1" si="146">SUM(L213:L217)</f>
        <v>0</v>
      </c>
      <c r="M218" s="247">
        <f t="shared" ref="M218" ca="1" si="147">SUM(M213:M217)</f>
        <v>0</v>
      </c>
    </row>
    <row r="219" spans="2:13" x14ac:dyDescent="0.2">
      <c r="B219" s="4"/>
      <c r="C219" s="254"/>
      <c r="D219" s="242"/>
      <c r="E219" s="242"/>
      <c r="F219" s="242"/>
      <c r="G219" s="242"/>
      <c r="H219" s="242"/>
      <c r="I219" s="242"/>
      <c r="J219" s="242"/>
      <c r="K219" s="242"/>
      <c r="L219" s="242"/>
      <c r="M219" s="247"/>
    </row>
    <row r="220" spans="2:13" x14ac:dyDescent="0.2">
      <c r="B220" s="53" t="s">
        <v>98</v>
      </c>
      <c r="C220" s="254"/>
      <c r="D220" s="242"/>
      <c r="E220" s="242"/>
      <c r="F220" s="242"/>
      <c r="G220" s="242"/>
      <c r="H220" s="242"/>
      <c r="I220" s="242"/>
      <c r="J220" s="242"/>
      <c r="K220" s="242"/>
      <c r="L220" s="242"/>
      <c r="M220" s="247"/>
    </row>
    <row r="221" spans="2:13" x14ac:dyDescent="0.2">
      <c r="B221" s="4"/>
      <c r="C221" s="254"/>
      <c r="D221" s="242"/>
      <c r="E221" s="242"/>
      <c r="F221" s="242"/>
      <c r="G221" s="242"/>
      <c r="H221" s="242"/>
      <c r="I221" s="242"/>
      <c r="J221" s="242"/>
      <c r="K221" s="242"/>
      <c r="L221" s="242"/>
      <c r="M221" s="247"/>
    </row>
    <row r="222" spans="2:13" x14ac:dyDescent="0.2">
      <c r="B222" s="299" t="s">
        <v>94</v>
      </c>
      <c r="C222" s="254"/>
      <c r="D222" s="242"/>
      <c r="E222" s="242"/>
      <c r="F222" s="242"/>
      <c r="G222" s="242"/>
      <c r="H222" s="242"/>
      <c r="I222" s="242"/>
      <c r="J222" s="242"/>
      <c r="K222" s="242"/>
      <c r="L222" s="242"/>
      <c r="M222" s="247"/>
    </row>
    <row r="223" spans="2:13" x14ac:dyDescent="0.2">
      <c r="B223" s="4" t="s">
        <v>523</v>
      </c>
      <c r="C223" s="254"/>
      <c r="D223" s="242">
        <f t="shared" ref="D223:M223" si="148">-(D$8=YEAR(PhaseIIIRefi-1))*$R197</f>
        <v>0</v>
      </c>
      <c r="E223" s="242">
        <f t="shared" si="148"/>
        <v>0</v>
      </c>
      <c r="F223" s="242">
        <f t="shared" si="148"/>
        <v>0</v>
      </c>
      <c r="G223" s="242">
        <f t="shared" si="148"/>
        <v>0</v>
      </c>
      <c r="H223" s="242">
        <f t="shared" si="148"/>
        <v>0</v>
      </c>
      <c r="I223" s="242">
        <f t="shared" si="148"/>
        <v>0</v>
      </c>
      <c r="J223" s="242">
        <f t="shared" si="148"/>
        <v>0</v>
      </c>
      <c r="K223" s="242">
        <f t="shared" si="148"/>
        <v>0</v>
      </c>
      <c r="L223" s="242">
        <f t="shared" si="148"/>
        <v>-4486058.8832415584</v>
      </c>
      <c r="M223" s="247">
        <f t="shared" si="148"/>
        <v>0</v>
      </c>
    </row>
    <row r="224" spans="2:13" x14ac:dyDescent="0.2">
      <c r="B224" s="4" t="s">
        <v>527</v>
      </c>
      <c r="C224" s="254"/>
      <c r="D224" s="242">
        <f t="shared" ref="D224:M224" si="149">(D$8=YEAR(PhaseIIIRefi-1))*$R195</f>
        <v>0</v>
      </c>
      <c r="E224" s="242">
        <f t="shared" si="149"/>
        <v>0</v>
      </c>
      <c r="F224" s="242">
        <f t="shared" si="149"/>
        <v>0</v>
      </c>
      <c r="G224" s="242">
        <f t="shared" si="149"/>
        <v>0</v>
      </c>
      <c r="H224" s="242">
        <f t="shared" si="149"/>
        <v>0</v>
      </c>
      <c r="I224" s="242">
        <f t="shared" si="149"/>
        <v>0</v>
      </c>
      <c r="J224" s="242">
        <f t="shared" si="149"/>
        <v>0</v>
      </c>
      <c r="K224" s="242">
        <f t="shared" si="149"/>
        <v>0</v>
      </c>
      <c r="L224" s="242">
        <f t="shared" si="149"/>
        <v>448605888.32415581</v>
      </c>
      <c r="M224" s="247">
        <f t="shared" si="149"/>
        <v>0</v>
      </c>
    </row>
    <row r="225" spans="2:13" x14ac:dyDescent="0.2">
      <c r="B225" s="4" t="s">
        <v>524</v>
      </c>
      <c r="C225" s="254"/>
      <c r="D225" s="242">
        <f t="shared" ref="D225:M225" si="150">(D$8&gt;=YEAR(PhaseIIIRefi))*$R196</f>
        <v>0</v>
      </c>
      <c r="E225" s="242">
        <f t="shared" si="150"/>
        <v>0</v>
      </c>
      <c r="F225" s="242">
        <f t="shared" si="150"/>
        <v>0</v>
      </c>
      <c r="G225" s="242">
        <f t="shared" si="150"/>
        <v>0</v>
      </c>
      <c r="H225" s="242">
        <f t="shared" si="150"/>
        <v>0</v>
      </c>
      <c r="I225" s="242">
        <f t="shared" si="150"/>
        <v>0</v>
      </c>
      <c r="J225" s="242">
        <f t="shared" si="150"/>
        <v>0</v>
      </c>
      <c r="K225" s="242">
        <f t="shared" si="150"/>
        <v>0</v>
      </c>
      <c r="L225" s="242">
        <f t="shared" si="150"/>
        <v>0</v>
      </c>
      <c r="M225" s="247">
        <f t="shared" si="150"/>
        <v>27276241.621828716</v>
      </c>
    </row>
    <row r="226" spans="2:13" x14ac:dyDescent="0.2">
      <c r="B226" s="4" t="s">
        <v>526</v>
      </c>
      <c r="C226" s="254"/>
      <c r="D226" s="242">
        <f>-(D$8=YEAR('Assumptions-Overall'!$C$30))*$R198</f>
        <v>0</v>
      </c>
      <c r="E226" s="242">
        <f>-(E$8=YEAR('Assumptions-Overall'!$C$30))*$R198</f>
        <v>0</v>
      </c>
      <c r="F226" s="242">
        <f>-(F$8=YEAR('Assumptions-Overall'!$C$30))*$R198</f>
        <v>0</v>
      </c>
      <c r="G226" s="242">
        <f>-(G$8=YEAR('Assumptions-Overall'!$C$30))*$R198</f>
        <v>0</v>
      </c>
      <c r="H226" s="242">
        <f>-(H$8=YEAR('Assumptions-Overall'!$C$30))*$R198</f>
        <v>0</v>
      </c>
      <c r="I226" s="242">
        <f>-(I$8=YEAR('Assumptions-Overall'!$C$30))*$R198</f>
        <v>0</v>
      </c>
      <c r="J226" s="242">
        <f>-(J$8=YEAR('Assumptions-Overall'!$C$30))*$R198</f>
        <v>0</v>
      </c>
      <c r="K226" s="242">
        <f>-(K$8=YEAR('Assumptions-Overall'!$C$30))*$R198</f>
        <v>0</v>
      </c>
      <c r="L226" s="242">
        <f>-(L$8=YEAR('Assumptions-Overall'!$C$30))*$R198</f>
        <v>0</v>
      </c>
      <c r="M226" s="247">
        <f>-(M$8=YEAR('Assumptions-Overall'!$C$30))*$R198</f>
        <v>-448015140.27021462</v>
      </c>
    </row>
    <row r="227" spans="2:13" x14ac:dyDescent="0.2">
      <c r="B227" s="4"/>
      <c r="C227" s="254"/>
      <c r="D227" s="242"/>
      <c r="E227" s="242"/>
      <c r="F227" s="242"/>
      <c r="G227" s="242"/>
      <c r="H227" s="242"/>
      <c r="I227" s="242"/>
      <c r="J227" s="242"/>
      <c r="K227" s="242"/>
      <c r="L227" s="242"/>
      <c r="M227" s="247"/>
    </row>
    <row r="228" spans="2:13" ht="12.75" thickBot="1" x14ac:dyDescent="0.25">
      <c r="B228" s="4" t="s">
        <v>528</v>
      </c>
      <c r="C228" s="254"/>
      <c r="D228" s="242">
        <f ca="1">D192+D196+D207+D208+D209+D215+D216+D217+D223+D224+D225+D226</f>
        <v>0</v>
      </c>
      <c r="E228" s="242">
        <f t="shared" ref="E228:M228" ca="1" si="151">E192+E196+E207+E208+E209+E215+E216+E217+E223+E224+E225+E226</f>
        <v>0</v>
      </c>
      <c r="F228" s="242">
        <f t="shared" ca="1" si="151"/>
        <v>0</v>
      </c>
      <c r="G228" s="242">
        <f t="shared" ca="1" si="151"/>
        <v>0</v>
      </c>
      <c r="H228" s="242">
        <f t="shared" ca="1" si="151"/>
        <v>-14298727.772478702</v>
      </c>
      <c r="I228" s="242">
        <f t="shared" ca="1" si="151"/>
        <v>-11007695.387249136</v>
      </c>
      <c r="J228" s="242">
        <f t="shared" ca="1" si="151"/>
        <v>-52846190.766214579</v>
      </c>
      <c r="K228" s="242">
        <f t="shared" ca="1" si="151"/>
        <v>0</v>
      </c>
      <c r="L228" s="242">
        <f t="shared" ca="1" si="151"/>
        <v>193616591.26457769</v>
      </c>
      <c r="M228" s="247">
        <f t="shared" ca="1" si="151"/>
        <v>327418733.11402172</v>
      </c>
    </row>
    <row r="229" spans="2:13" ht="12.75" thickBot="1" x14ac:dyDescent="0.25">
      <c r="B229" s="236" t="s">
        <v>530</v>
      </c>
      <c r="C229" s="298">
        <f ca="1">IFERROR(IRR(D228:M228),"n/a")</f>
        <v>0.78624345237848292</v>
      </c>
      <c r="D229" s="242"/>
      <c r="E229" s="242"/>
      <c r="F229" s="242"/>
      <c r="G229" s="242"/>
      <c r="H229" s="242"/>
      <c r="I229" s="242"/>
      <c r="J229" s="242"/>
      <c r="K229" s="242"/>
      <c r="L229" s="242"/>
      <c r="M229" s="247"/>
    </row>
    <row r="230" spans="2:13" ht="12.75" thickBot="1" x14ac:dyDescent="0.25">
      <c r="B230" s="236" t="s">
        <v>529</v>
      </c>
      <c r="C230" s="310">
        <f ca="1">-SUMIF(D228:M228,"&gt;"&amp;0)/SUMIF(D228:M228,"&lt;"&amp;0)</f>
        <v>6.6668956827513606</v>
      </c>
      <c r="D230" s="242"/>
      <c r="E230" s="242"/>
      <c r="F230" s="242"/>
      <c r="G230" s="242"/>
      <c r="H230" s="242"/>
      <c r="I230" s="242"/>
      <c r="J230" s="242"/>
      <c r="K230" s="242"/>
      <c r="L230" s="242"/>
      <c r="M230" s="247"/>
    </row>
    <row r="231" spans="2:13" x14ac:dyDescent="0.2">
      <c r="B231" s="250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M231" s="252"/>
    </row>
    <row r="232" spans="2:13" x14ac:dyDescent="0.2">
      <c r="B232" s="243" t="s">
        <v>487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3"/>
    </row>
    <row r="233" spans="2:13" x14ac:dyDescent="0.2">
      <c r="B233" s="4"/>
      <c r="C233" s="12"/>
      <c r="D233" s="244"/>
      <c r="E233" s="244"/>
      <c r="F233" s="244"/>
      <c r="G233" s="244"/>
      <c r="H233" s="244"/>
      <c r="I233" s="244"/>
      <c r="J233" s="244"/>
      <c r="K233" s="244"/>
      <c r="L233" s="244"/>
      <c r="M233" s="245"/>
    </row>
    <row r="234" spans="2:13" x14ac:dyDescent="0.2">
      <c r="B234" s="53" t="s">
        <v>401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3"/>
    </row>
    <row r="235" spans="2:13" x14ac:dyDescent="0.2">
      <c r="B235" s="4" t="s">
        <v>402</v>
      </c>
      <c r="C235" s="12"/>
      <c r="D235" s="242">
        <f t="shared" ref="D235:M235" si="152">D13+D87+D161</f>
        <v>0</v>
      </c>
      <c r="E235" s="242">
        <f t="shared" si="152"/>
        <v>0</v>
      </c>
      <c r="F235" s="242">
        <f t="shared" si="152"/>
        <v>0</v>
      </c>
      <c r="G235" s="242">
        <f t="shared" si="152"/>
        <v>0</v>
      </c>
      <c r="H235" s="242">
        <f t="shared" si="152"/>
        <v>0</v>
      </c>
      <c r="I235" s="242">
        <f t="shared" si="152"/>
        <v>0</v>
      </c>
      <c r="J235" s="242">
        <f t="shared" si="152"/>
        <v>2032989.5193337151</v>
      </c>
      <c r="K235" s="242">
        <f t="shared" si="152"/>
        <v>2893060.7500130283</v>
      </c>
      <c r="L235" s="242">
        <f t="shared" si="152"/>
        <v>4984412.326296608</v>
      </c>
      <c r="M235" s="247">
        <f t="shared" si="152"/>
        <v>5919811.9468294503</v>
      </c>
    </row>
    <row r="236" spans="2:13" x14ac:dyDescent="0.2">
      <c r="B236" s="75" t="s">
        <v>70</v>
      </c>
      <c r="C236" s="12"/>
      <c r="D236" s="242">
        <f t="shared" ref="D236:M236" si="153">D14+D88+D162</f>
        <v>0</v>
      </c>
      <c r="E236" s="242">
        <f t="shared" si="153"/>
        <v>0</v>
      </c>
      <c r="F236" s="242">
        <f t="shared" si="153"/>
        <v>0</v>
      </c>
      <c r="G236" s="242">
        <f t="shared" si="153"/>
        <v>0</v>
      </c>
      <c r="H236" s="242">
        <f t="shared" si="153"/>
        <v>1609602.4397372052</v>
      </c>
      <c r="I236" s="242">
        <f t="shared" si="153"/>
        <v>2529643.6339421761</v>
      </c>
      <c r="J236" s="242">
        <f t="shared" si="153"/>
        <v>6343059.5173642747</v>
      </c>
      <c r="K236" s="242">
        <f t="shared" si="153"/>
        <v>6917099.2982178461</v>
      </c>
      <c r="L236" s="242">
        <f t="shared" si="153"/>
        <v>12055863.408756671</v>
      </c>
      <c r="M236" s="247">
        <f t="shared" si="153"/>
        <v>14278454.906688465</v>
      </c>
    </row>
    <row r="237" spans="2:13" x14ac:dyDescent="0.2">
      <c r="B237" s="75" t="s">
        <v>35</v>
      </c>
      <c r="C237" s="12"/>
      <c r="D237" s="242">
        <f t="shared" ref="D237:M237" si="154">D15+D89+D163</f>
        <v>0</v>
      </c>
      <c r="E237" s="242">
        <f t="shared" si="154"/>
        <v>0</v>
      </c>
      <c r="F237" s="242">
        <f t="shared" si="154"/>
        <v>0</v>
      </c>
      <c r="G237" s="242">
        <f t="shared" si="154"/>
        <v>0</v>
      </c>
      <c r="H237" s="242">
        <f t="shared" si="154"/>
        <v>16928634.51333876</v>
      </c>
      <c r="I237" s="242">
        <f t="shared" si="154"/>
        <v>29165351.825116258</v>
      </c>
      <c r="J237" s="242">
        <f t="shared" si="154"/>
        <v>42476515.067718171</v>
      </c>
      <c r="K237" s="242">
        <f t="shared" si="154"/>
        <v>52367126.189341746</v>
      </c>
      <c r="L237" s="242">
        <f t="shared" si="154"/>
        <v>53938139.975021981</v>
      </c>
      <c r="M237" s="247">
        <f t="shared" si="154"/>
        <v>55556284.174272656</v>
      </c>
    </row>
    <row r="238" spans="2:13" x14ac:dyDescent="0.2">
      <c r="B238" s="4" t="s">
        <v>73</v>
      </c>
      <c r="C238" s="12"/>
      <c r="D238" s="242">
        <f t="shared" ref="D238:M238" si="155">D16+D90+D164</f>
        <v>0</v>
      </c>
      <c r="E238" s="242">
        <f t="shared" si="155"/>
        <v>0</v>
      </c>
      <c r="F238" s="242">
        <f t="shared" si="155"/>
        <v>0</v>
      </c>
      <c r="G238" s="242">
        <f t="shared" si="155"/>
        <v>0</v>
      </c>
      <c r="H238" s="242">
        <f t="shared" si="155"/>
        <v>0</v>
      </c>
      <c r="I238" s="242">
        <f t="shared" si="155"/>
        <v>0</v>
      </c>
      <c r="J238" s="242">
        <f t="shared" si="155"/>
        <v>0</v>
      </c>
      <c r="K238" s="242">
        <f t="shared" si="155"/>
        <v>0</v>
      </c>
      <c r="L238" s="242">
        <f t="shared" si="155"/>
        <v>27900582.54023546</v>
      </c>
      <c r="M238" s="247">
        <f t="shared" si="155"/>
        <v>28737600.01644253</v>
      </c>
    </row>
    <row r="239" spans="2:13" x14ac:dyDescent="0.2">
      <c r="B239" s="75" t="s">
        <v>403</v>
      </c>
      <c r="C239" s="12"/>
      <c r="D239" s="240">
        <f t="shared" ref="D239:M239" si="156">D17+D91+D165</f>
        <v>0</v>
      </c>
      <c r="E239" s="240">
        <f t="shared" si="156"/>
        <v>0</v>
      </c>
      <c r="F239" s="240">
        <f t="shared" si="156"/>
        <v>0</v>
      </c>
      <c r="G239" s="240">
        <f t="shared" si="156"/>
        <v>0</v>
      </c>
      <c r="H239" s="240">
        <f t="shared" si="156"/>
        <v>18808.917480750002</v>
      </c>
      <c r="I239" s="240">
        <f t="shared" si="156"/>
        <v>18997.006655557499</v>
      </c>
      <c r="J239" s="240">
        <f t="shared" si="156"/>
        <v>199910.78236193335</v>
      </c>
      <c r="K239" s="240">
        <f t="shared" si="156"/>
        <v>201909.89018555265</v>
      </c>
      <c r="L239" s="240">
        <f t="shared" si="156"/>
        <v>195726.34954227551</v>
      </c>
      <c r="M239" s="248">
        <f t="shared" si="156"/>
        <v>197683.61303769829</v>
      </c>
    </row>
    <row r="240" spans="2:13" x14ac:dyDescent="0.2">
      <c r="B240" s="4" t="s">
        <v>404</v>
      </c>
      <c r="C240" s="12"/>
      <c r="D240" s="242">
        <f>SUM(D235:D239)</f>
        <v>0</v>
      </c>
      <c r="E240" s="242">
        <f t="shared" ref="E240:M240" si="157">SUM(E235:E239)</f>
        <v>0</v>
      </c>
      <c r="F240" s="242">
        <f t="shared" si="157"/>
        <v>0</v>
      </c>
      <c r="G240" s="242">
        <f t="shared" si="157"/>
        <v>0</v>
      </c>
      <c r="H240" s="242">
        <f t="shared" si="157"/>
        <v>18557045.870556712</v>
      </c>
      <c r="I240" s="242">
        <f t="shared" si="157"/>
        <v>31713992.465713993</v>
      </c>
      <c r="J240" s="242">
        <f t="shared" si="157"/>
        <v>51052474.886778094</v>
      </c>
      <c r="K240" s="242">
        <f t="shared" si="157"/>
        <v>62379196.127758175</v>
      </c>
      <c r="L240" s="242">
        <f t="shared" si="157"/>
        <v>99074724.599852994</v>
      </c>
      <c r="M240" s="247">
        <f t="shared" si="157"/>
        <v>104689834.65727082</v>
      </c>
    </row>
    <row r="241" spans="2:13" x14ac:dyDescent="0.2">
      <c r="B241" s="4"/>
      <c r="C241" s="12"/>
      <c r="D241" s="242"/>
      <c r="E241" s="242"/>
      <c r="F241" s="242"/>
      <c r="G241" s="242"/>
      <c r="H241" s="242"/>
      <c r="I241" s="242"/>
      <c r="J241" s="242"/>
      <c r="K241" s="242"/>
      <c r="L241" s="242"/>
      <c r="M241" s="247"/>
    </row>
    <row r="242" spans="2:13" x14ac:dyDescent="0.2">
      <c r="B242" s="4" t="s">
        <v>409</v>
      </c>
      <c r="C242" s="12"/>
      <c r="D242" s="242">
        <f t="shared" ref="D242:M242" si="158">D20+D94+D168</f>
        <v>0</v>
      </c>
      <c r="E242" s="242">
        <f t="shared" si="158"/>
        <v>0</v>
      </c>
      <c r="F242" s="242">
        <f t="shared" si="158"/>
        <v>-12040000</v>
      </c>
      <c r="G242" s="242">
        <f t="shared" si="158"/>
        <v>0</v>
      </c>
      <c r="H242" s="242">
        <f t="shared" si="158"/>
        <v>-25650000</v>
      </c>
      <c r="I242" s="242">
        <f t="shared" si="158"/>
        <v>0</v>
      </c>
      <c r="J242" s="242">
        <f t="shared" si="158"/>
        <v>-15600000</v>
      </c>
      <c r="K242" s="242">
        <f t="shared" si="158"/>
        <v>0</v>
      </c>
      <c r="L242" s="242">
        <f t="shared" si="158"/>
        <v>0</v>
      </c>
      <c r="M242" s="247">
        <f t="shared" si="158"/>
        <v>0</v>
      </c>
    </row>
    <row r="243" spans="2:13" x14ac:dyDescent="0.2">
      <c r="B243" s="4"/>
      <c r="C243" s="1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7"/>
    </row>
    <row r="244" spans="2:13" x14ac:dyDescent="0.2">
      <c r="B244" s="53" t="s">
        <v>209</v>
      </c>
      <c r="C244" s="12"/>
      <c r="D244" s="242"/>
      <c r="E244" s="242"/>
      <c r="F244" s="242"/>
      <c r="G244" s="242"/>
      <c r="H244" s="242"/>
      <c r="I244" s="242"/>
      <c r="J244" s="242"/>
      <c r="K244" s="242"/>
      <c r="L244" s="242"/>
      <c r="M244" s="247"/>
    </row>
    <row r="245" spans="2:13" x14ac:dyDescent="0.2">
      <c r="B245" s="4" t="s">
        <v>402</v>
      </c>
      <c r="C245" s="12"/>
      <c r="D245" s="242">
        <f t="shared" ref="D245:M245" si="159">D23+D97+D171</f>
        <v>0</v>
      </c>
      <c r="E245" s="242">
        <f t="shared" si="159"/>
        <v>0</v>
      </c>
      <c r="F245" s="242">
        <f t="shared" si="159"/>
        <v>-2895161.3497565342</v>
      </c>
      <c r="G245" s="242">
        <f t="shared" si="159"/>
        <v>-2895161.3497565342</v>
      </c>
      <c r="H245" s="242">
        <f t="shared" si="159"/>
        <v>-32604429.516026553</v>
      </c>
      <c r="I245" s="242">
        <f t="shared" si="159"/>
        <v>-33419394.005753938</v>
      </c>
      <c r="J245" s="242">
        <f t="shared" si="159"/>
        <v>-26412283.184807774</v>
      </c>
      <c r="K245" s="242">
        <f t="shared" si="159"/>
        <v>-27128338.125091292</v>
      </c>
      <c r="L245" s="242">
        <f t="shared" si="159"/>
        <v>0</v>
      </c>
      <c r="M245" s="247">
        <f t="shared" si="159"/>
        <v>0</v>
      </c>
    </row>
    <row r="246" spans="2:13" x14ac:dyDescent="0.2">
      <c r="B246" s="4" t="s">
        <v>405</v>
      </c>
      <c r="C246" s="12"/>
      <c r="D246" s="242">
        <f t="shared" ref="D246:M246" si="160">D24+D98+D172</f>
        <v>-8712365.3654375318</v>
      </c>
      <c r="E246" s="242">
        <f t="shared" si="160"/>
        <v>-8712365.3654375318</v>
      </c>
      <c r="F246" s="242">
        <f t="shared" si="160"/>
        <v>-94185255.062829792</v>
      </c>
      <c r="G246" s="242">
        <f t="shared" si="160"/>
        <v>-96637715.404965639</v>
      </c>
      <c r="H246" s="242">
        <f t="shared" si="160"/>
        <v>-40814045.954381779</v>
      </c>
      <c r="I246" s="242">
        <f t="shared" si="160"/>
        <v>-41862381.387512803</v>
      </c>
      <c r="J246" s="242">
        <f t="shared" si="160"/>
        <v>-22274992.801418565</v>
      </c>
      <c r="K246" s="242">
        <f t="shared" si="160"/>
        <v>-22878882.988746636</v>
      </c>
      <c r="L246" s="242">
        <f t="shared" si="160"/>
        <v>0</v>
      </c>
      <c r="M246" s="247">
        <f t="shared" si="160"/>
        <v>0</v>
      </c>
    </row>
    <row r="247" spans="2:13" x14ac:dyDescent="0.2">
      <c r="B247" s="4" t="s">
        <v>70</v>
      </c>
      <c r="C247" s="12"/>
      <c r="D247" s="242">
        <f t="shared" ref="D247:M247" si="161">D25+D99+D173</f>
        <v>-497026.12306109699</v>
      </c>
      <c r="E247" s="242">
        <f t="shared" si="161"/>
        <v>-497026.12306109699</v>
      </c>
      <c r="F247" s="242">
        <f t="shared" si="161"/>
        <v>-7296587.1502230763</v>
      </c>
      <c r="G247" s="242">
        <f t="shared" si="161"/>
        <v>-7436495.9814858753</v>
      </c>
      <c r="H247" s="242">
        <f t="shared" si="161"/>
        <v>-26181832.091071263</v>
      </c>
      <c r="I247" s="242">
        <f t="shared" si="161"/>
        <v>-26335732.971268862</v>
      </c>
      <c r="J247" s="242">
        <f t="shared" si="161"/>
        <v>-39358570.51338955</v>
      </c>
      <c r="K247" s="242">
        <f t="shared" si="161"/>
        <v>-40214629.137808762</v>
      </c>
      <c r="L247" s="242">
        <f t="shared" si="161"/>
        <v>0</v>
      </c>
      <c r="M247" s="247">
        <f t="shared" si="161"/>
        <v>0</v>
      </c>
    </row>
    <row r="248" spans="2:13" x14ac:dyDescent="0.2">
      <c r="B248" s="4" t="s">
        <v>35</v>
      </c>
      <c r="C248" s="12"/>
      <c r="D248" s="242">
        <f t="shared" ref="D248:M248" si="162">D26+D100+D174</f>
        <v>-14879549.822510203</v>
      </c>
      <c r="E248" s="242">
        <f t="shared" si="162"/>
        <v>-14879549.822510203</v>
      </c>
      <c r="F248" s="242">
        <f t="shared" si="162"/>
        <v>-165426204.99898791</v>
      </c>
      <c r="G248" s="242">
        <f t="shared" si="162"/>
        <v>-169614677.85542992</v>
      </c>
      <c r="H248" s="242">
        <f t="shared" si="162"/>
        <v>-113496159.96247365</v>
      </c>
      <c r="I248" s="242">
        <f t="shared" si="162"/>
        <v>-116573117.96249552</v>
      </c>
      <c r="J248" s="242">
        <f t="shared" si="162"/>
        <v>0</v>
      </c>
      <c r="K248" s="242">
        <f t="shared" si="162"/>
        <v>0</v>
      </c>
      <c r="L248" s="242">
        <f t="shared" si="162"/>
        <v>0</v>
      </c>
      <c r="M248" s="247">
        <f t="shared" si="162"/>
        <v>0</v>
      </c>
    </row>
    <row r="249" spans="2:13" x14ac:dyDescent="0.2">
      <c r="B249" s="4" t="s">
        <v>73</v>
      </c>
      <c r="C249" s="12"/>
      <c r="D249" s="242">
        <f t="shared" ref="D249:M249" si="163">D27+D101+D175</f>
        <v>0</v>
      </c>
      <c r="E249" s="242">
        <f t="shared" si="163"/>
        <v>0</v>
      </c>
      <c r="F249" s="242">
        <f t="shared" si="163"/>
        <v>0</v>
      </c>
      <c r="G249" s="242">
        <f t="shared" si="163"/>
        <v>0</v>
      </c>
      <c r="H249" s="242">
        <f t="shared" si="163"/>
        <v>-8200485.2899138574</v>
      </c>
      <c r="I249" s="242">
        <f t="shared" si="163"/>
        <v>-8200485.2899138574</v>
      </c>
      <c r="J249" s="242">
        <f t="shared" si="163"/>
        <v>-85146160.072122231</v>
      </c>
      <c r="K249" s="242">
        <f t="shared" si="163"/>
        <v>-87454530.315588489</v>
      </c>
      <c r="L249" s="242">
        <f t="shared" si="163"/>
        <v>0</v>
      </c>
      <c r="M249" s="247">
        <f t="shared" si="163"/>
        <v>0</v>
      </c>
    </row>
    <row r="250" spans="2:13" x14ac:dyDescent="0.2">
      <c r="B250" s="4" t="s">
        <v>403</v>
      </c>
      <c r="C250" s="12"/>
      <c r="D250" s="242">
        <f t="shared" ref="D250:M250" si="164">D28+D102+D176</f>
        <v>-697201.21986466867</v>
      </c>
      <c r="E250" s="242">
        <f t="shared" si="164"/>
        <v>-697201.21986466867</v>
      </c>
      <c r="F250" s="242">
        <f t="shared" si="164"/>
        <v>-10176322.709560703</v>
      </c>
      <c r="G250" s="242">
        <f t="shared" si="164"/>
        <v>-10372579.210578203</v>
      </c>
      <c r="H250" s="242">
        <f t="shared" si="164"/>
        <v>-30497530.146335658</v>
      </c>
      <c r="I250" s="242">
        <f t="shared" si="164"/>
        <v>-31324338.907052346</v>
      </c>
      <c r="J250" s="242">
        <f t="shared" si="164"/>
        <v>0</v>
      </c>
      <c r="K250" s="242">
        <f t="shared" si="164"/>
        <v>0</v>
      </c>
      <c r="L250" s="242">
        <f t="shared" si="164"/>
        <v>0</v>
      </c>
      <c r="M250" s="247">
        <f t="shared" si="164"/>
        <v>0</v>
      </c>
    </row>
    <row r="251" spans="2:13" x14ac:dyDescent="0.2">
      <c r="B251" s="75" t="s">
        <v>406</v>
      </c>
      <c r="C251" s="12"/>
      <c r="D251" s="240">
        <f t="shared" ref="D251:M251" si="165">D29+D103+D177</f>
        <v>0</v>
      </c>
      <c r="E251" s="240">
        <f t="shared" si="165"/>
        <v>0</v>
      </c>
      <c r="F251" s="240">
        <f t="shared" si="165"/>
        <v>-16778568.434343435</v>
      </c>
      <c r="G251" s="240">
        <f t="shared" si="165"/>
        <v>-16778568.434343435</v>
      </c>
      <c r="H251" s="240">
        <f t="shared" si="165"/>
        <v>-21592526.363636363</v>
      </c>
      <c r="I251" s="240">
        <f t="shared" si="165"/>
        <v>-21592526.363636363</v>
      </c>
      <c r="J251" s="240">
        <f t="shared" si="165"/>
        <v>-1467424.2424242424</v>
      </c>
      <c r="K251" s="240">
        <f t="shared" si="165"/>
        <v>-1467424.2424242424</v>
      </c>
      <c r="L251" s="240">
        <f t="shared" si="165"/>
        <v>0</v>
      </c>
      <c r="M251" s="248">
        <f t="shared" si="165"/>
        <v>0</v>
      </c>
    </row>
    <row r="252" spans="2:13" x14ac:dyDescent="0.2">
      <c r="B252" s="4" t="s">
        <v>313</v>
      </c>
      <c r="C252" s="12"/>
      <c r="D252" s="242">
        <f>SUM(D245:D251)</f>
        <v>-24786142.530873504</v>
      </c>
      <c r="E252" s="242">
        <f t="shared" ref="E252" si="166">SUM(E245:E251)</f>
        <v>-24786142.530873504</v>
      </c>
      <c r="F252" s="242">
        <f t="shared" ref="F252" si="167">SUM(F245:F251)</f>
        <v>-296758099.70570147</v>
      </c>
      <c r="G252" s="242">
        <f t="shared" ref="G252" si="168">SUM(G245:G251)</f>
        <v>-303735198.23655963</v>
      </c>
      <c r="H252" s="242">
        <f t="shared" ref="H252" si="169">SUM(H245:H251)</f>
        <v>-273387009.32383913</v>
      </c>
      <c r="I252" s="242">
        <f t="shared" ref="I252" si="170">SUM(I245:I251)</f>
        <v>-279307976.88763368</v>
      </c>
      <c r="J252" s="242">
        <f t="shared" ref="J252" si="171">SUM(J245:J251)</f>
        <v>-174659430.81416237</v>
      </c>
      <c r="K252" s="242">
        <f t="shared" ref="K252" si="172">SUM(K245:K251)</f>
        <v>-179143804.80965942</v>
      </c>
      <c r="L252" s="242">
        <f t="shared" ref="L252" si="173">SUM(L245:L251)</f>
        <v>0</v>
      </c>
      <c r="M252" s="247">
        <f t="shared" ref="M252" si="174">SUM(M245:M251)</f>
        <v>0</v>
      </c>
    </row>
    <row r="253" spans="2:13" x14ac:dyDescent="0.2">
      <c r="B253" s="4"/>
      <c r="C253" s="12"/>
      <c r="D253" s="242"/>
      <c r="E253" s="242"/>
      <c r="F253" s="242"/>
      <c r="G253" s="242"/>
      <c r="H253" s="211"/>
      <c r="I253" s="242"/>
      <c r="J253" s="242"/>
      <c r="K253" s="242"/>
      <c r="L253" s="242"/>
      <c r="M253" s="247"/>
    </row>
    <row r="254" spans="2:13" x14ac:dyDescent="0.2">
      <c r="B254" s="4" t="s">
        <v>319</v>
      </c>
      <c r="C254" s="12"/>
      <c r="D254" s="242">
        <f t="shared" ref="D254:M254" si="175">D32+D106+D180</f>
        <v>0</v>
      </c>
      <c r="E254" s="242">
        <f t="shared" si="175"/>
        <v>0</v>
      </c>
      <c r="F254" s="242">
        <f t="shared" si="175"/>
        <v>0</v>
      </c>
      <c r="G254" s="242">
        <f t="shared" si="175"/>
        <v>0</v>
      </c>
      <c r="H254" s="242">
        <f t="shared" si="175"/>
        <v>0</v>
      </c>
      <c r="I254" s="242">
        <f t="shared" si="175"/>
        <v>0</v>
      </c>
      <c r="J254" s="242">
        <f t="shared" si="175"/>
        <v>3600000</v>
      </c>
      <c r="K254" s="242">
        <f t="shared" si="175"/>
        <v>0</v>
      </c>
      <c r="L254" s="242">
        <f t="shared" si="175"/>
        <v>3000000</v>
      </c>
      <c r="M254" s="247">
        <f t="shared" si="175"/>
        <v>0</v>
      </c>
    </row>
    <row r="255" spans="2:13" x14ac:dyDescent="0.2">
      <c r="B255" s="4"/>
      <c r="C255" s="12"/>
      <c r="D255" s="242"/>
      <c r="E255" s="242"/>
      <c r="F255" s="242"/>
      <c r="G255" s="242"/>
      <c r="H255" s="211"/>
      <c r="I255" s="242"/>
      <c r="J255" s="242"/>
      <c r="K255" s="242"/>
      <c r="L255" s="242"/>
      <c r="M255" s="247"/>
    </row>
    <row r="256" spans="2:13" x14ac:dyDescent="0.2">
      <c r="B256" s="53" t="s">
        <v>480</v>
      </c>
      <c r="C256" s="12"/>
      <c r="D256" s="242"/>
      <c r="E256" s="242"/>
      <c r="F256" s="242"/>
      <c r="G256" s="242"/>
      <c r="H256" s="242"/>
      <c r="I256" s="242"/>
      <c r="J256" s="242"/>
      <c r="K256" s="242"/>
      <c r="L256" s="242"/>
      <c r="M256" s="247"/>
    </row>
    <row r="257" spans="2:13" x14ac:dyDescent="0.2">
      <c r="B257" s="4" t="s">
        <v>402</v>
      </c>
      <c r="C257" s="12"/>
      <c r="D257" s="242">
        <f t="shared" ref="D257:M257" si="176">D35+D109+D183</f>
        <v>0</v>
      </c>
      <c r="E257" s="242">
        <f t="shared" si="176"/>
        <v>0</v>
      </c>
      <c r="F257" s="242">
        <f t="shared" si="176"/>
        <v>0</v>
      </c>
      <c r="G257" s="242">
        <f t="shared" si="176"/>
        <v>0</v>
      </c>
      <c r="H257" s="242">
        <f t="shared" si="176"/>
        <v>0</v>
      </c>
      <c r="I257" s="242">
        <f t="shared" si="176"/>
        <v>0</v>
      </c>
      <c r="J257" s="242">
        <f t="shared" si="176"/>
        <v>0</v>
      </c>
      <c r="K257" s="242">
        <f t="shared" si="176"/>
        <v>0</v>
      </c>
      <c r="L257" s="242">
        <f t="shared" si="176"/>
        <v>0</v>
      </c>
      <c r="M257" s="247">
        <f t="shared" si="176"/>
        <v>163669499.07330611</v>
      </c>
    </row>
    <row r="258" spans="2:13" x14ac:dyDescent="0.2">
      <c r="B258" s="4" t="s">
        <v>405</v>
      </c>
      <c r="C258" s="12"/>
      <c r="D258" s="242">
        <f t="shared" ref="D258:M258" si="177">D36+D110+D184</f>
        <v>18641628.468021024</v>
      </c>
      <c r="E258" s="242">
        <f t="shared" si="177"/>
        <v>19200877.322061654</v>
      </c>
      <c r="F258" s="242">
        <f t="shared" si="177"/>
        <v>16896271.152115941</v>
      </c>
      <c r="G258" s="242">
        <f t="shared" si="177"/>
        <v>17403159.286679424</v>
      </c>
      <c r="H258" s="242">
        <f t="shared" si="177"/>
        <v>214040930.52613959</v>
      </c>
      <c r="I258" s="242">
        <f t="shared" si="177"/>
        <v>9415664.1541435644</v>
      </c>
      <c r="J258" s="242">
        <f t="shared" si="177"/>
        <v>115200245.64116485</v>
      </c>
      <c r="K258" s="242">
        <f t="shared" si="177"/>
        <v>2002456.5657401653</v>
      </c>
      <c r="L258" s="242">
        <f t="shared" si="177"/>
        <v>60426822.112615146</v>
      </c>
      <c r="M258" s="247">
        <f t="shared" si="177"/>
        <v>0</v>
      </c>
    </row>
    <row r="259" spans="2:13" x14ac:dyDescent="0.2">
      <c r="B259" s="4" t="s">
        <v>488</v>
      </c>
      <c r="C259" s="12"/>
      <c r="D259" s="242">
        <f t="shared" ref="D259:M259" si="178">D37+D111+D185</f>
        <v>0</v>
      </c>
      <c r="E259" s="242">
        <f t="shared" si="178"/>
        <v>0</v>
      </c>
      <c r="F259" s="242">
        <f t="shared" si="178"/>
        <v>0</v>
      </c>
      <c r="G259" s="242">
        <f t="shared" si="178"/>
        <v>0</v>
      </c>
      <c r="H259" s="242">
        <f t="shared" si="178"/>
        <v>7691520.479514</v>
      </c>
      <c r="I259" s="242">
        <f t="shared" si="178"/>
        <v>0</v>
      </c>
      <c r="J259" s="242">
        <f t="shared" si="178"/>
        <v>4118698.1843318804</v>
      </c>
      <c r="K259" s="242">
        <f t="shared" si="178"/>
        <v>0</v>
      </c>
      <c r="L259" s="242">
        <f t="shared" si="178"/>
        <v>2121749.4290076606</v>
      </c>
      <c r="M259" s="247">
        <f t="shared" si="178"/>
        <v>0</v>
      </c>
    </row>
    <row r="260" spans="2:13" x14ac:dyDescent="0.2">
      <c r="B260" s="4" t="s">
        <v>70</v>
      </c>
      <c r="C260" s="12"/>
      <c r="D260" s="242">
        <f t="shared" ref="D260:M260" si="179">D38+D112+D186</f>
        <v>0</v>
      </c>
      <c r="E260" s="242">
        <f t="shared" si="179"/>
        <v>0</v>
      </c>
      <c r="F260" s="242">
        <f t="shared" si="179"/>
        <v>0</v>
      </c>
      <c r="G260" s="242">
        <f t="shared" si="179"/>
        <v>0</v>
      </c>
      <c r="H260" s="242">
        <f t="shared" si="179"/>
        <v>0</v>
      </c>
      <c r="I260" s="242">
        <f t="shared" si="179"/>
        <v>0</v>
      </c>
      <c r="J260" s="242">
        <f t="shared" si="179"/>
        <v>0</v>
      </c>
      <c r="K260" s="242">
        <f t="shared" si="179"/>
        <v>0</v>
      </c>
      <c r="L260" s="242">
        <f t="shared" si="179"/>
        <v>0</v>
      </c>
      <c r="M260" s="247">
        <f t="shared" si="179"/>
        <v>324946641.43108708</v>
      </c>
    </row>
    <row r="261" spans="2:13" x14ac:dyDescent="0.2">
      <c r="B261" s="4" t="s">
        <v>35</v>
      </c>
      <c r="C261" s="12"/>
      <c r="D261" s="242">
        <f t="shared" ref="D261:M261" si="180">D39+D113+D187</f>
        <v>0</v>
      </c>
      <c r="E261" s="242">
        <f t="shared" si="180"/>
        <v>0</v>
      </c>
      <c r="F261" s="242">
        <f t="shared" si="180"/>
        <v>0</v>
      </c>
      <c r="G261" s="242">
        <f t="shared" si="180"/>
        <v>0</v>
      </c>
      <c r="H261" s="242">
        <f t="shared" si="180"/>
        <v>0</v>
      </c>
      <c r="I261" s="242">
        <f t="shared" si="180"/>
        <v>0</v>
      </c>
      <c r="J261" s="242">
        <f t="shared" si="180"/>
        <v>0</v>
      </c>
      <c r="K261" s="242">
        <f t="shared" si="180"/>
        <v>0</v>
      </c>
      <c r="L261" s="242">
        <f t="shared" si="180"/>
        <v>0</v>
      </c>
      <c r="M261" s="247">
        <f t="shared" si="180"/>
        <v>1266212191.033396</v>
      </c>
    </row>
    <row r="262" spans="2:13" x14ac:dyDescent="0.2">
      <c r="B262" s="4" t="s">
        <v>73</v>
      </c>
      <c r="C262" s="12"/>
      <c r="D262" s="242">
        <f t="shared" ref="D262:M262" si="181">D40+D114+D188</f>
        <v>0</v>
      </c>
      <c r="E262" s="242">
        <f t="shared" si="181"/>
        <v>0</v>
      </c>
      <c r="F262" s="242">
        <f t="shared" si="181"/>
        <v>0</v>
      </c>
      <c r="G262" s="242">
        <f t="shared" si="181"/>
        <v>0</v>
      </c>
      <c r="H262" s="242">
        <f t="shared" si="181"/>
        <v>0</v>
      </c>
      <c r="I262" s="242">
        <f t="shared" si="181"/>
        <v>0</v>
      </c>
      <c r="J262" s="242">
        <f t="shared" si="181"/>
        <v>0</v>
      </c>
      <c r="K262" s="242">
        <f t="shared" si="181"/>
        <v>0</v>
      </c>
      <c r="L262" s="242">
        <f t="shared" si="181"/>
        <v>0</v>
      </c>
      <c r="M262" s="247">
        <f t="shared" si="181"/>
        <v>472806068.15448701</v>
      </c>
    </row>
    <row r="263" spans="2:13" x14ac:dyDescent="0.2">
      <c r="B263" s="4" t="s">
        <v>403</v>
      </c>
      <c r="C263" s="12"/>
      <c r="D263" s="240">
        <f t="shared" ref="D263:M263" si="182">D41+D115+D189</f>
        <v>0</v>
      </c>
      <c r="E263" s="240">
        <f t="shared" si="182"/>
        <v>0</v>
      </c>
      <c r="F263" s="240">
        <f t="shared" si="182"/>
        <v>0</v>
      </c>
      <c r="G263" s="240">
        <f t="shared" si="182"/>
        <v>0</v>
      </c>
      <c r="H263" s="240">
        <f t="shared" si="182"/>
        <v>0</v>
      </c>
      <c r="I263" s="240">
        <f t="shared" si="182"/>
        <v>0</v>
      </c>
      <c r="J263" s="240">
        <f t="shared" si="182"/>
        <v>0</v>
      </c>
      <c r="K263" s="240">
        <f t="shared" si="182"/>
        <v>0</v>
      </c>
      <c r="L263" s="240">
        <f t="shared" si="182"/>
        <v>0</v>
      </c>
      <c r="M263" s="248">
        <f t="shared" si="182"/>
        <v>3953276.8935278896</v>
      </c>
    </row>
    <row r="264" spans="2:13" x14ac:dyDescent="0.2">
      <c r="B264" s="4" t="s">
        <v>481</v>
      </c>
      <c r="C264" s="12"/>
      <c r="D264" s="242">
        <f>SUM(D257:D263)</f>
        <v>18641628.468021024</v>
      </c>
      <c r="E264" s="242">
        <f t="shared" ref="E264:M264" si="183">SUM(E257:E263)</f>
        <v>19200877.322061654</v>
      </c>
      <c r="F264" s="242">
        <f t="shared" si="183"/>
        <v>16896271.152115941</v>
      </c>
      <c r="G264" s="242">
        <f t="shared" si="183"/>
        <v>17403159.286679424</v>
      </c>
      <c r="H264" s="242">
        <f t="shared" si="183"/>
        <v>221732451.00565359</v>
      </c>
      <c r="I264" s="242">
        <f t="shared" si="183"/>
        <v>9415664.1541435644</v>
      </c>
      <c r="J264" s="242">
        <f t="shared" si="183"/>
        <v>119318943.82549673</v>
      </c>
      <c r="K264" s="242">
        <f t="shared" si="183"/>
        <v>2002456.5657401653</v>
      </c>
      <c r="L264" s="242">
        <f t="shared" si="183"/>
        <v>62548571.541622803</v>
      </c>
      <c r="M264" s="247">
        <f t="shared" si="183"/>
        <v>2231587676.5858045</v>
      </c>
    </row>
    <row r="265" spans="2:13" x14ac:dyDescent="0.2">
      <c r="B265" s="4"/>
      <c r="C265" s="1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7"/>
    </row>
    <row r="266" spans="2:13" ht="12.75" thickBot="1" x14ac:dyDescent="0.25">
      <c r="B266" s="4" t="s">
        <v>315</v>
      </c>
      <c r="C266" s="12"/>
      <c r="D266" s="242">
        <f>D240+D242+D252+D254+D264</f>
        <v>-6144514.0628524795</v>
      </c>
      <c r="E266" s="242">
        <f t="shared" ref="E266:M266" si="184">E240+E242+E252+E254+E264</f>
        <v>-5585265.2088118494</v>
      </c>
      <c r="F266" s="242">
        <f t="shared" si="184"/>
        <v>-291901828.55358553</v>
      </c>
      <c r="G266" s="242">
        <f t="shared" si="184"/>
        <v>-286332038.94988018</v>
      </c>
      <c r="H266" s="242">
        <f t="shared" si="184"/>
        <v>-58747512.447628826</v>
      </c>
      <c r="I266" s="242">
        <f t="shared" si="184"/>
        <v>-238178320.26777613</v>
      </c>
      <c r="J266" s="242">
        <f t="shared" si="184"/>
        <v>-16288012.101887554</v>
      </c>
      <c r="K266" s="242">
        <f t="shared" si="184"/>
        <v>-114762152.11616108</v>
      </c>
      <c r="L266" s="242">
        <f t="shared" si="184"/>
        <v>164623296.1414758</v>
      </c>
      <c r="M266" s="247">
        <f t="shared" si="184"/>
        <v>2336277511.2430754</v>
      </c>
    </row>
    <row r="267" spans="2:13" ht="12.75" thickBot="1" x14ac:dyDescent="0.25">
      <c r="B267" s="236" t="s">
        <v>320</v>
      </c>
      <c r="C267" s="298">
        <f>IFERROR(IRR(D266:M266),"n/a")</f>
        <v>0.17973047171583212</v>
      </c>
      <c r="D267" s="242"/>
      <c r="E267" s="242"/>
      <c r="F267" s="242"/>
      <c r="G267" s="242"/>
      <c r="H267" s="242"/>
      <c r="I267" s="242"/>
      <c r="J267" s="242"/>
      <c r="K267" s="242"/>
      <c r="L267" s="242"/>
      <c r="M267" s="247"/>
    </row>
    <row r="268" spans="2:13" x14ac:dyDescent="0.2">
      <c r="B268" s="4"/>
      <c r="C268" s="254"/>
      <c r="D268" s="242"/>
      <c r="E268" s="242"/>
      <c r="F268" s="242"/>
      <c r="G268" s="242"/>
      <c r="H268" s="242"/>
      <c r="I268" s="242"/>
      <c r="J268" s="242"/>
      <c r="K268" s="242"/>
      <c r="L268" s="242"/>
      <c r="M268" s="247"/>
    </row>
    <row r="269" spans="2:13" x14ac:dyDescent="0.2">
      <c r="B269" s="53" t="s">
        <v>91</v>
      </c>
      <c r="C269" s="254"/>
      <c r="D269" s="242"/>
      <c r="E269" s="242"/>
      <c r="F269" s="242"/>
      <c r="G269" s="242"/>
      <c r="H269" s="242"/>
      <c r="I269" s="242"/>
      <c r="J269" s="242"/>
      <c r="K269" s="242"/>
      <c r="L269" s="242"/>
      <c r="M269" s="247"/>
    </row>
    <row r="270" spans="2:13" x14ac:dyDescent="0.2">
      <c r="B270" s="4" t="s">
        <v>503</v>
      </c>
      <c r="C270" s="254"/>
      <c r="D270" s="242">
        <f ca="1">D48+D122+D196</f>
        <v>-4561563.1477897745</v>
      </c>
      <c r="E270" s="242">
        <f t="shared" ref="E270:M270" ca="1" si="185">E48+E122+E196</f>
        <v>0</v>
      </c>
      <c r="F270" s="242">
        <f t="shared" ca="1" si="185"/>
        <v>-4531753.2128625792</v>
      </c>
      <c r="G270" s="242">
        <f t="shared" ca="1" si="185"/>
        <v>0</v>
      </c>
      <c r="H270" s="242">
        <f t="shared" ca="1" si="185"/>
        <v>-3126104.5570376976</v>
      </c>
      <c r="I270" s="242">
        <f t="shared" ca="1" si="185"/>
        <v>0</v>
      </c>
      <c r="J270" s="242">
        <f t="shared" ca="1" si="185"/>
        <v>0</v>
      </c>
      <c r="K270" s="242">
        <f t="shared" ca="1" si="185"/>
        <v>0</v>
      </c>
      <c r="L270" s="242">
        <f t="shared" ca="1" si="185"/>
        <v>0</v>
      </c>
      <c r="M270" s="247">
        <f t="shared" ca="1" si="185"/>
        <v>0</v>
      </c>
    </row>
    <row r="271" spans="2:13" x14ac:dyDescent="0.2">
      <c r="B271" s="4" t="s">
        <v>499</v>
      </c>
      <c r="C271" s="254"/>
      <c r="D271" s="242">
        <f t="shared" ref="D271:M271" ca="1" si="186">D49+D123+D197</f>
        <v>10706077.210642254</v>
      </c>
      <c r="E271" s="242">
        <f t="shared" ca="1" si="186"/>
        <v>5585265.2088118494</v>
      </c>
      <c r="F271" s="242">
        <f t="shared" ca="1" si="186"/>
        <v>296433581.76644808</v>
      </c>
      <c r="G271" s="242">
        <f t="shared" ca="1" si="186"/>
        <v>286332038.94988018</v>
      </c>
      <c r="H271" s="242">
        <f t="shared" ca="1" si="186"/>
        <v>293021692.37199956</v>
      </c>
      <c r="I271" s="242">
        <f t="shared" ca="1" si="186"/>
        <v>269892312.73349011</v>
      </c>
      <c r="J271" s="242">
        <f t="shared" ca="1" si="186"/>
        <v>188315298.22606513</v>
      </c>
      <c r="K271" s="242">
        <f t="shared" ca="1" si="186"/>
        <v>177141348.24391925</v>
      </c>
      <c r="L271" s="242">
        <f t="shared" ca="1" si="186"/>
        <v>0</v>
      </c>
      <c r="M271" s="247">
        <f t="shared" ca="1" si="186"/>
        <v>0</v>
      </c>
    </row>
    <row r="272" spans="2:13" x14ac:dyDescent="0.2">
      <c r="B272" s="4" t="s">
        <v>500</v>
      </c>
      <c r="C272" s="254"/>
      <c r="D272" s="242">
        <f t="shared" ref="D272:M272" ca="1" si="187">D50+D124+D198</f>
        <v>10706077.210642254</v>
      </c>
      <c r="E272" s="242">
        <f t="shared" ca="1" si="187"/>
        <v>5585265.2088118494</v>
      </c>
      <c r="F272" s="242">
        <f t="shared" ca="1" si="187"/>
        <v>114598957.26182494</v>
      </c>
      <c r="G272" s="242">
        <f t="shared" ca="1" si="187"/>
        <v>12010348.675525883</v>
      </c>
      <c r="H272" s="242">
        <f t="shared" ca="1" si="187"/>
        <v>98730988.431982577</v>
      </c>
      <c r="I272" s="242">
        <f t="shared" ca="1" si="187"/>
        <v>11007695.387249136</v>
      </c>
      <c r="J272" s="242">
        <f t="shared" ca="1" si="187"/>
        <v>52846190.766214579</v>
      </c>
      <c r="K272" s="242">
        <f t="shared" ca="1" si="187"/>
        <v>0</v>
      </c>
      <c r="L272" s="242">
        <f t="shared" ca="1" si="187"/>
        <v>0</v>
      </c>
      <c r="M272" s="247">
        <f t="shared" ca="1" si="187"/>
        <v>0</v>
      </c>
    </row>
    <row r="273" spans="2:13" x14ac:dyDescent="0.2">
      <c r="B273" s="4" t="s">
        <v>501</v>
      </c>
      <c r="C273" s="254"/>
      <c r="D273" s="242">
        <f t="shared" ref="D273:M273" ca="1" si="188">D51+D125+D199</f>
        <v>0</v>
      </c>
      <c r="E273" s="242">
        <f t="shared" ca="1" si="188"/>
        <v>0</v>
      </c>
      <c r="F273" s="242">
        <f t="shared" ca="1" si="188"/>
        <v>114039078.69474435</v>
      </c>
      <c r="G273" s="242">
        <f t="shared" ca="1" si="188"/>
        <v>0</v>
      </c>
      <c r="H273" s="242">
        <f t="shared" ca="1" si="188"/>
        <v>113293830.3215645</v>
      </c>
      <c r="I273" s="242">
        <f t="shared" ca="1" si="188"/>
        <v>0</v>
      </c>
      <c r="J273" s="242">
        <f t="shared" ca="1" si="188"/>
        <v>78152613.925942451</v>
      </c>
      <c r="K273" s="242">
        <f t="shared" ca="1" si="188"/>
        <v>0</v>
      </c>
      <c r="L273" s="242">
        <f t="shared" ca="1" si="188"/>
        <v>0</v>
      </c>
      <c r="M273" s="247">
        <f t="shared" ca="1" si="188"/>
        <v>0</v>
      </c>
    </row>
    <row r="274" spans="2:13" x14ac:dyDescent="0.2">
      <c r="B274" s="4" t="s">
        <v>502</v>
      </c>
      <c r="C274" s="254"/>
      <c r="D274" s="242">
        <f t="shared" ref="D274:M274" ca="1" si="189">D52+D126+D200</f>
        <v>0</v>
      </c>
      <c r="E274" s="242">
        <f t="shared" ca="1" si="189"/>
        <v>0</v>
      </c>
      <c r="F274" s="242">
        <f t="shared" ca="1" si="189"/>
        <v>67795545.809878796</v>
      </c>
      <c r="G274" s="242">
        <f t="shared" ca="1" si="189"/>
        <v>274321690.27435428</v>
      </c>
      <c r="H274" s="242">
        <f t="shared" ca="1" si="189"/>
        <v>80996873.618452489</v>
      </c>
      <c r="I274" s="242">
        <f t="shared" ca="1" si="189"/>
        <v>258884617.346241</v>
      </c>
      <c r="J274" s="242">
        <f t="shared" ca="1" si="189"/>
        <v>57316493.533908099</v>
      </c>
      <c r="K274" s="242">
        <f t="shared" ca="1" si="189"/>
        <v>177141348.24391925</v>
      </c>
      <c r="L274" s="242">
        <f t="shared" ca="1" si="189"/>
        <v>0</v>
      </c>
      <c r="M274" s="247">
        <f t="shared" ca="1" si="189"/>
        <v>0</v>
      </c>
    </row>
    <row r="275" spans="2:13" x14ac:dyDescent="0.2">
      <c r="B275" s="4"/>
      <c r="C275" s="254"/>
      <c r="D275" s="242"/>
      <c r="E275" s="242"/>
      <c r="F275" s="242"/>
      <c r="G275" s="242"/>
      <c r="H275" s="242"/>
      <c r="I275" s="242"/>
      <c r="J275" s="242"/>
      <c r="K275" s="242"/>
      <c r="L275" s="242"/>
      <c r="M275" s="247"/>
    </row>
    <row r="276" spans="2:13" x14ac:dyDescent="0.2">
      <c r="B276" s="4" t="s">
        <v>517</v>
      </c>
      <c r="C276" s="254"/>
      <c r="D276" s="242">
        <f>D54+D128+D202</f>
        <v>0</v>
      </c>
      <c r="E276" s="242">
        <f t="shared" ref="E276:M276" si="190">E54+E128+E202</f>
        <v>0</v>
      </c>
      <c r="F276" s="242">
        <f t="shared" si="190"/>
        <v>0</v>
      </c>
      <c r="G276" s="242">
        <f t="shared" si="190"/>
        <v>0</v>
      </c>
      <c r="H276" s="242">
        <f t="shared" si="190"/>
        <v>212591029.49677634</v>
      </c>
      <c r="I276" s="242">
        <f t="shared" si="190"/>
        <v>0</v>
      </c>
      <c r="J276" s="242">
        <f t="shared" si="190"/>
        <v>117374811.23739949</v>
      </c>
      <c r="K276" s="242">
        <f t="shared" si="190"/>
        <v>0</v>
      </c>
      <c r="L276" s="242">
        <f t="shared" si="190"/>
        <v>62548571.541622803</v>
      </c>
      <c r="M276" s="247">
        <f t="shared" si="190"/>
        <v>0</v>
      </c>
    </row>
    <row r="277" spans="2:13" x14ac:dyDescent="0.2">
      <c r="B277" s="4"/>
      <c r="C277" s="254"/>
      <c r="D277" s="242"/>
      <c r="E277" s="242"/>
      <c r="F277" s="242"/>
      <c r="G277" s="242"/>
      <c r="H277" s="242"/>
      <c r="I277" s="242"/>
      <c r="J277" s="242"/>
      <c r="K277" s="242"/>
      <c r="L277" s="242"/>
      <c r="M277" s="247"/>
    </row>
    <row r="278" spans="2:13" x14ac:dyDescent="0.2">
      <c r="B278" s="299" t="s">
        <v>94</v>
      </c>
      <c r="C278" s="254"/>
      <c r="D278" s="242"/>
      <c r="E278" s="242"/>
      <c r="F278" s="242"/>
      <c r="G278" s="242"/>
      <c r="H278" s="242"/>
      <c r="I278" s="242"/>
      <c r="J278" s="242"/>
      <c r="K278" s="242"/>
      <c r="L278" s="242"/>
      <c r="M278" s="247"/>
    </row>
    <row r="279" spans="2:13" x14ac:dyDescent="0.2">
      <c r="B279" s="4" t="s">
        <v>505</v>
      </c>
      <c r="C279" s="254"/>
      <c r="D279" s="242">
        <f t="shared" ref="D279:M279" si="191">D57+D131+D205</f>
        <v>0</v>
      </c>
      <c r="E279" s="242">
        <f t="shared" ca="1" si="191"/>
        <v>0</v>
      </c>
      <c r="F279" s="242">
        <f t="shared" ca="1" si="191"/>
        <v>0</v>
      </c>
      <c r="G279" s="242">
        <f t="shared" ca="1" si="191"/>
        <v>67795545.809878796</v>
      </c>
      <c r="H279" s="242">
        <f t="shared" ca="1" si="191"/>
        <v>345585784.87579447</v>
      </c>
      <c r="I279" s="242">
        <f t="shared" ca="1" si="191"/>
        <v>80996873.618452489</v>
      </c>
      <c r="J279" s="242">
        <f t="shared" ca="1" si="191"/>
        <v>344025444.74150044</v>
      </c>
      <c r="K279" s="242">
        <f t="shared" ca="1" si="191"/>
        <v>57316493.533908099</v>
      </c>
      <c r="L279" s="242">
        <f t="shared" ca="1" si="191"/>
        <v>237390262.36694819</v>
      </c>
      <c r="M279" s="247">
        <f t="shared" ca="1" si="191"/>
        <v>0</v>
      </c>
    </row>
    <row r="280" spans="2:13" x14ac:dyDescent="0.2">
      <c r="B280" s="4" t="s">
        <v>506</v>
      </c>
      <c r="C280" s="254"/>
      <c r="D280" s="242">
        <f t="shared" ref="D280:M280" si="192">D58+D132+D206</f>
        <v>0</v>
      </c>
      <c r="E280" s="242">
        <f t="shared" ca="1" si="192"/>
        <v>0</v>
      </c>
      <c r="F280" s="242">
        <f t="shared" ca="1" si="192"/>
        <v>0</v>
      </c>
      <c r="G280" s="242">
        <f t="shared" ca="1" si="192"/>
        <v>3468548.7915613991</v>
      </c>
      <c r="H280" s="242">
        <f t="shared" ca="1" si="192"/>
        <v>17680824.635194089</v>
      </c>
      <c r="I280" s="242">
        <f t="shared" ca="1" si="192"/>
        <v>4143953.7768069338</v>
      </c>
      <c r="J280" s="242">
        <f t="shared" ca="1" si="192"/>
        <v>17600994.67258257</v>
      </c>
      <c r="K280" s="242">
        <f t="shared" ca="1" si="192"/>
        <v>2932420.5891208402</v>
      </c>
      <c r="L280" s="242">
        <f t="shared" ca="1" si="192"/>
        <v>12145336.361335708</v>
      </c>
      <c r="M280" s="247">
        <f t="shared" ca="1" si="192"/>
        <v>0</v>
      </c>
    </row>
    <row r="281" spans="2:13" x14ac:dyDescent="0.2">
      <c r="B281" s="4" t="s">
        <v>507</v>
      </c>
      <c r="C281" s="254"/>
      <c r="D281" s="242">
        <f t="shared" ref="D281:M281" ca="1" si="193">D59+D133+D207</f>
        <v>0</v>
      </c>
      <c r="E281" s="242">
        <f t="shared" ca="1" si="193"/>
        <v>0</v>
      </c>
      <c r="F281" s="242">
        <f t="shared" ca="1" si="193"/>
        <v>67795545.809878796</v>
      </c>
      <c r="G281" s="242">
        <f t="shared" ca="1" si="193"/>
        <v>274321690.27435428</v>
      </c>
      <c r="H281" s="242">
        <f t="shared" ca="1" si="193"/>
        <v>80996873.618452489</v>
      </c>
      <c r="I281" s="242">
        <f t="shared" ca="1" si="193"/>
        <v>258884617.346241</v>
      </c>
      <c r="J281" s="242">
        <f t="shared" ca="1" si="193"/>
        <v>57316493.533908099</v>
      </c>
      <c r="K281" s="242">
        <f t="shared" ca="1" si="193"/>
        <v>177141348.24391925</v>
      </c>
      <c r="L281" s="242">
        <f t="shared" ca="1" si="193"/>
        <v>0</v>
      </c>
      <c r="M281" s="247">
        <f t="shared" ca="1" si="193"/>
        <v>0</v>
      </c>
    </row>
    <row r="282" spans="2:13" x14ac:dyDescent="0.2">
      <c r="B282" s="4" t="s">
        <v>518</v>
      </c>
      <c r="C282" s="254"/>
      <c r="D282" s="242">
        <f t="shared" ref="D282:M282" si="194">D60+D134+D208</f>
        <v>0</v>
      </c>
      <c r="E282" s="242">
        <f t="shared" ca="1" si="194"/>
        <v>0</v>
      </c>
      <c r="F282" s="242">
        <f t="shared" ca="1" si="194"/>
        <v>0</v>
      </c>
      <c r="G282" s="242">
        <f t="shared" ca="1" si="194"/>
        <v>0</v>
      </c>
      <c r="H282" s="242">
        <f t="shared" ca="1" si="194"/>
        <v>-159443272.12258226</v>
      </c>
      <c r="I282" s="242">
        <f t="shared" ca="1" si="194"/>
        <v>0</v>
      </c>
      <c r="J282" s="242">
        <f t="shared" ca="1" si="194"/>
        <v>-88031108.428049609</v>
      </c>
      <c r="K282" s="242">
        <f t="shared" ca="1" si="194"/>
        <v>0</v>
      </c>
      <c r="L282" s="242">
        <f t="shared" ca="1" si="194"/>
        <v>-45320116.584461354</v>
      </c>
      <c r="M282" s="247">
        <f t="shared" ca="1" si="194"/>
        <v>0</v>
      </c>
    </row>
    <row r="283" spans="2:13" x14ac:dyDescent="0.2">
      <c r="B283" s="4" t="s">
        <v>509</v>
      </c>
      <c r="C283" s="254"/>
      <c r="D283" s="242">
        <f t="shared" ref="D283:M283" ca="1" si="195">D61+D135+D209</f>
        <v>0</v>
      </c>
      <c r="E283" s="242">
        <f t="shared" ca="1" si="195"/>
        <v>0</v>
      </c>
      <c r="F283" s="242">
        <f t="shared" ca="1" si="195"/>
        <v>0</v>
      </c>
      <c r="G283" s="242">
        <f t="shared" ca="1" si="195"/>
        <v>0</v>
      </c>
      <c r="H283" s="242">
        <f t="shared" ca="1" si="195"/>
        <v>-203823337.38840628</v>
      </c>
      <c r="I283" s="242">
        <f t="shared" ca="1" si="195"/>
        <v>0</v>
      </c>
      <c r="J283" s="242">
        <f t="shared" ca="1" si="195"/>
        <v>-273595330.98603338</v>
      </c>
      <c r="K283" s="242">
        <f t="shared" ca="1" si="195"/>
        <v>0</v>
      </c>
      <c r="L283" s="242">
        <f t="shared" ca="1" si="195"/>
        <v>-204215482.14382252</v>
      </c>
      <c r="M283" s="247">
        <f t="shared" ca="1" si="195"/>
        <v>0</v>
      </c>
    </row>
    <row r="284" spans="2:13" x14ac:dyDescent="0.2">
      <c r="B284" s="4" t="s">
        <v>508</v>
      </c>
      <c r="C284" s="254"/>
      <c r="D284" s="242">
        <f t="shared" ref="D284:M284" ca="1" si="196">D62+D136+D210</f>
        <v>0</v>
      </c>
      <c r="E284" s="242">
        <f t="shared" ca="1" si="196"/>
        <v>0</v>
      </c>
      <c r="F284" s="242">
        <f t="shared" ca="1" si="196"/>
        <v>67795545.809878796</v>
      </c>
      <c r="G284" s="242">
        <f t="shared" ca="1" si="196"/>
        <v>345585784.87579447</v>
      </c>
      <c r="H284" s="242">
        <f t="shared" ca="1" si="196"/>
        <v>80996873.618452489</v>
      </c>
      <c r="I284" s="242">
        <f t="shared" ca="1" si="196"/>
        <v>344025444.74150044</v>
      </c>
      <c r="J284" s="242">
        <f t="shared" ca="1" si="196"/>
        <v>57316493.533908099</v>
      </c>
      <c r="K284" s="242">
        <f t="shared" ca="1" si="196"/>
        <v>237390262.36694819</v>
      </c>
      <c r="L284" s="242">
        <f t="shared" ca="1" si="196"/>
        <v>0</v>
      </c>
      <c r="M284" s="247">
        <f t="shared" ca="1" si="196"/>
        <v>0</v>
      </c>
    </row>
    <row r="285" spans="2:13" x14ac:dyDescent="0.2">
      <c r="B285" s="4"/>
      <c r="C285" s="254"/>
      <c r="D285" s="242"/>
      <c r="E285" s="242"/>
      <c r="F285" s="242"/>
      <c r="G285" s="242"/>
      <c r="H285" s="242"/>
      <c r="I285" s="242"/>
      <c r="J285" s="242"/>
      <c r="K285" s="242"/>
      <c r="L285" s="242"/>
      <c r="M285" s="247"/>
    </row>
    <row r="286" spans="2:13" x14ac:dyDescent="0.2">
      <c r="B286" s="299" t="s">
        <v>95</v>
      </c>
      <c r="C286" s="254"/>
      <c r="D286" s="242"/>
      <c r="E286" s="242"/>
      <c r="F286" s="242"/>
      <c r="G286" s="242"/>
      <c r="H286" s="242"/>
      <c r="I286" s="242"/>
      <c r="J286" s="242"/>
      <c r="K286" s="242"/>
      <c r="L286" s="242"/>
      <c r="M286" s="247"/>
    </row>
    <row r="287" spans="2:13" x14ac:dyDescent="0.2">
      <c r="B287" s="4" t="s">
        <v>505</v>
      </c>
      <c r="C287" s="254"/>
      <c r="D287" s="242">
        <f t="shared" ref="D287:M287" si="197">D65+D139+D213</f>
        <v>0</v>
      </c>
      <c r="E287" s="242">
        <f t="shared" ca="1" si="197"/>
        <v>0</v>
      </c>
      <c r="F287" s="242">
        <f t="shared" ca="1" si="197"/>
        <v>0</v>
      </c>
      <c r="G287" s="242">
        <f t="shared" ca="1" si="197"/>
        <v>114039078.69474435</v>
      </c>
      <c r="H287" s="242">
        <f t="shared" ca="1" si="197"/>
        <v>128502088.28642738</v>
      </c>
      <c r="I287" s="242">
        <f t="shared" ca="1" si="197"/>
        <v>113293830.3215645</v>
      </c>
      <c r="J287" s="242">
        <f t="shared" ca="1" si="197"/>
        <v>127662323.76586318</v>
      </c>
      <c r="K287" s="242">
        <f t="shared" ca="1" si="197"/>
        <v>78152613.925942451</v>
      </c>
      <c r="L287" s="242">
        <f t="shared" ca="1" si="197"/>
        <v>88064321.541992307</v>
      </c>
      <c r="M287" s="247">
        <f t="shared" ca="1" si="197"/>
        <v>0</v>
      </c>
    </row>
    <row r="288" spans="2:13" x14ac:dyDescent="0.2">
      <c r="B288" s="4" t="s">
        <v>506</v>
      </c>
      <c r="C288" s="254"/>
      <c r="D288" s="242">
        <f t="shared" ref="D288:M288" si="198">D66+D140+D214</f>
        <v>0</v>
      </c>
      <c r="E288" s="242">
        <f t="shared" ca="1" si="198"/>
        <v>0</v>
      </c>
      <c r="F288" s="242">
        <f t="shared" ca="1" si="198"/>
        <v>0</v>
      </c>
      <c r="G288" s="242">
        <f t="shared" ca="1" si="198"/>
        <v>14463009.591683025</v>
      </c>
      <c r="H288" s="242">
        <f t="shared" ca="1" si="198"/>
        <v>16297281.218947193</v>
      </c>
      <c r="I288" s="242">
        <f t="shared" ca="1" si="198"/>
        <v>14368493.444298688</v>
      </c>
      <c r="J288" s="242">
        <f t="shared" ca="1" si="198"/>
        <v>16190778.058322879</v>
      </c>
      <c r="K288" s="242">
        <f t="shared" ca="1" si="198"/>
        <v>9911707.6160498522</v>
      </c>
      <c r="L288" s="242">
        <f t="shared" ca="1" si="198"/>
        <v>11168760.233114649</v>
      </c>
      <c r="M288" s="247">
        <f t="shared" ca="1" si="198"/>
        <v>0</v>
      </c>
    </row>
    <row r="289" spans="2:15" x14ac:dyDescent="0.2">
      <c r="B289" s="4" t="s">
        <v>507</v>
      </c>
      <c r="C289" s="254"/>
      <c r="D289" s="242">
        <f t="shared" ref="D289:M289" ca="1" si="199">D67+D141+D215</f>
        <v>0</v>
      </c>
      <c r="E289" s="242">
        <f t="shared" ca="1" si="199"/>
        <v>0</v>
      </c>
      <c r="F289" s="242">
        <f t="shared" ca="1" si="199"/>
        <v>114039078.69474435</v>
      </c>
      <c r="G289" s="242">
        <f t="shared" ca="1" si="199"/>
        <v>0</v>
      </c>
      <c r="H289" s="242">
        <f t="shared" ca="1" si="199"/>
        <v>113293830.3215645</v>
      </c>
      <c r="I289" s="242">
        <f t="shared" ca="1" si="199"/>
        <v>0</v>
      </c>
      <c r="J289" s="242">
        <f t="shared" ca="1" si="199"/>
        <v>78152613.925942451</v>
      </c>
      <c r="K289" s="242">
        <f t="shared" ca="1" si="199"/>
        <v>0</v>
      </c>
      <c r="L289" s="242">
        <f t="shared" ca="1" si="199"/>
        <v>0</v>
      </c>
      <c r="M289" s="247">
        <f t="shared" ca="1" si="199"/>
        <v>0</v>
      </c>
    </row>
    <row r="290" spans="2:15" x14ac:dyDescent="0.2">
      <c r="B290" s="4" t="s">
        <v>518</v>
      </c>
      <c r="C290" s="254"/>
      <c r="D290" s="242">
        <f t="shared" ref="D290:M290" si="200">D68+D142+D216</f>
        <v>0</v>
      </c>
      <c r="E290" s="242">
        <f t="shared" ca="1" si="200"/>
        <v>0</v>
      </c>
      <c r="F290" s="242">
        <f t="shared" ca="1" si="200"/>
        <v>0</v>
      </c>
      <c r="G290" s="242">
        <f t="shared" ca="1" si="200"/>
        <v>0</v>
      </c>
      <c r="H290" s="242">
        <f t="shared" ca="1" si="200"/>
        <v>-53147757.374194086</v>
      </c>
      <c r="I290" s="297">
        <f t="shared" ca="1" si="200"/>
        <v>0</v>
      </c>
      <c r="J290" s="242">
        <f t="shared" ca="1" si="200"/>
        <v>-29343702.809349876</v>
      </c>
      <c r="K290" s="242">
        <f t="shared" ca="1" si="200"/>
        <v>0</v>
      </c>
      <c r="L290" s="242">
        <f t="shared" ca="1" si="200"/>
        <v>-15106705.528153786</v>
      </c>
      <c r="M290" s="247">
        <f t="shared" ca="1" si="200"/>
        <v>0</v>
      </c>
    </row>
    <row r="291" spans="2:15" x14ac:dyDescent="0.2">
      <c r="B291" s="4" t="s">
        <v>509</v>
      </c>
      <c r="C291" s="254"/>
      <c r="D291" s="242">
        <f t="shared" ref="D291:M291" ca="1" si="201">D69+D143+D217</f>
        <v>0</v>
      </c>
      <c r="E291" s="242">
        <f t="shared" ca="1" si="201"/>
        <v>0</v>
      </c>
      <c r="F291" s="242">
        <f t="shared" ca="1" si="201"/>
        <v>0</v>
      </c>
      <c r="G291" s="242">
        <f t="shared" ca="1" si="201"/>
        <v>0</v>
      </c>
      <c r="H291" s="242">
        <f t="shared" ca="1" si="201"/>
        <v>-91651612.131180495</v>
      </c>
      <c r="I291" s="242">
        <f t="shared" ca="1" si="201"/>
        <v>0</v>
      </c>
      <c r="J291" s="242">
        <f t="shared" ca="1" si="201"/>
        <v>-114509399.01483618</v>
      </c>
      <c r="K291" s="242">
        <f t="shared" ca="1" si="201"/>
        <v>0</v>
      </c>
      <c r="L291" s="242">
        <f t="shared" ca="1" si="201"/>
        <v>-84126376.24695316</v>
      </c>
      <c r="M291" s="247">
        <f t="shared" ca="1" si="201"/>
        <v>0</v>
      </c>
    </row>
    <row r="292" spans="2:15" x14ac:dyDescent="0.2">
      <c r="B292" s="4" t="s">
        <v>508</v>
      </c>
      <c r="C292" s="254"/>
      <c r="D292" s="242">
        <f t="shared" ref="D292:M292" ca="1" si="202">D70+D144+D218</f>
        <v>0</v>
      </c>
      <c r="E292" s="242">
        <f t="shared" ca="1" si="202"/>
        <v>0</v>
      </c>
      <c r="F292" s="242">
        <f t="shared" ca="1" si="202"/>
        <v>114039078.69474435</v>
      </c>
      <c r="G292" s="242">
        <f t="shared" ca="1" si="202"/>
        <v>128502088.28642738</v>
      </c>
      <c r="H292" s="242">
        <f t="shared" ca="1" si="202"/>
        <v>113293830.3215645</v>
      </c>
      <c r="I292" s="242">
        <f t="shared" ca="1" si="202"/>
        <v>127662323.76586318</v>
      </c>
      <c r="J292" s="242">
        <f t="shared" ca="1" si="202"/>
        <v>78152613.925942451</v>
      </c>
      <c r="K292" s="242">
        <f t="shared" ca="1" si="202"/>
        <v>88064321.541992307</v>
      </c>
      <c r="L292" s="242">
        <f t="shared" ca="1" si="202"/>
        <v>0</v>
      </c>
      <c r="M292" s="247">
        <f t="shared" ca="1" si="202"/>
        <v>0</v>
      </c>
    </row>
    <row r="293" spans="2:15" x14ac:dyDescent="0.2">
      <c r="B293" s="4"/>
      <c r="C293" s="254"/>
      <c r="D293" s="242"/>
      <c r="E293" s="242"/>
      <c r="F293" s="242"/>
      <c r="G293" s="242"/>
      <c r="H293" s="242"/>
      <c r="I293" s="242"/>
      <c r="J293" s="242"/>
      <c r="K293" s="242"/>
      <c r="L293" s="242"/>
      <c r="M293" s="247"/>
    </row>
    <row r="294" spans="2:15" x14ac:dyDescent="0.2">
      <c r="B294" s="53" t="s">
        <v>98</v>
      </c>
      <c r="C294" s="254"/>
      <c r="D294" s="242"/>
      <c r="E294" s="242"/>
      <c r="F294" s="242"/>
      <c r="G294" s="242"/>
      <c r="H294" s="242"/>
      <c r="I294" s="242"/>
      <c r="J294" s="242"/>
      <c r="K294" s="242"/>
      <c r="L294" s="242"/>
      <c r="M294" s="247"/>
    </row>
    <row r="295" spans="2:15" x14ac:dyDescent="0.2">
      <c r="B295" s="4"/>
      <c r="C295" s="254"/>
      <c r="D295" s="242"/>
      <c r="E295" s="242"/>
      <c r="F295" s="242"/>
      <c r="G295" s="242"/>
      <c r="H295" s="242"/>
      <c r="I295" s="242"/>
      <c r="J295" s="242"/>
      <c r="K295" s="242"/>
      <c r="L295" s="242"/>
      <c r="M295" s="247"/>
    </row>
    <row r="296" spans="2:15" x14ac:dyDescent="0.2">
      <c r="B296" s="299" t="s">
        <v>94</v>
      </c>
      <c r="C296" s="254"/>
      <c r="D296" s="242"/>
      <c r="E296" s="242"/>
      <c r="F296" s="242"/>
      <c r="G296" s="242"/>
      <c r="H296" s="242"/>
      <c r="I296" s="242"/>
      <c r="J296" s="242"/>
      <c r="K296" s="242"/>
      <c r="L296" s="242"/>
      <c r="M296" s="247"/>
    </row>
    <row r="297" spans="2:15" x14ac:dyDescent="0.2">
      <c r="B297" s="4" t="s">
        <v>523</v>
      </c>
      <c r="C297" s="254"/>
      <c r="D297" s="242">
        <f t="shared" ref="D297:M297" si="203">D75+D149+D223</f>
        <v>0</v>
      </c>
      <c r="E297" s="242">
        <f t="shared" si="203"/>
        <v>0</v>
      </c>
      <c r="F297" s="242">
        <f t="shared" si="203"/>
        <v>0</v>
      </c>
      <c r="G297" s="242">
        <f t="shared" si="203"/>
        <v>0</v>
      </c>
      <c r="H297" s="242">
        <f t="shared" si="203"/>
        <v>-4346604.3818274727</v>
      </c>
      <c r="I297" s="242">
        <f t="shared" si="203"/>
        <v>0</v>
      </c>
      <c r="J297" s="242">
        <f t="shared" si="203"/>
        <v>-3938259.2280431092</v>
      </c>
      <c r="K297" s="242">
        <f t="shared" si="203"/>
        <v>0</v>
      </c>
      <c r="L297" s="242">
        <f t="shared" si="203"/>
        <v>-4486058.8832415584</v>
      </c>
      <c r="M297" s="247">
        <f t="shared" si="203"/>
        <v>0</v>
      </c>
    </row>
    <row r="298" spans="2:15" x14ac:dyDescent="0.2">
      <c r="B298" s="4" t="s">
        <v>527</v>
      </c>
      <c r="C298" s="254"/>
      <c r="D298" s="242">
        <f t="shared" ref="D298:M298" si="204">D76+D150+D224</f>
        <v>0</v>
      </c>
      <c r="E298" s="242">
        <f t="shared" si="204"/>
        <v>0</v>
      </c>
      <c r="F298" s="242">
        <f t="shared" si="204"/>
        <v>0</v>
      </c>
      <c r="G298" s="242">
        <f t="shared" si="204"/>
        <v>0</v>
      </c>
      <c r="H298" s="242">
        <f t="shared" si="204"/>
        <v>434660438.1827473</v>
      </c>
      <c r="I298" s="242">
        <f t="shared" si="204"/>
        <v>0</v>
      </c>
      <c r="J298" s="242">
        <f t="shared" si="204"/>
        <v>393825922.80431092</v>
      </c>
      <c r="K298" s="242">
        <f t="shared" si="204"/>
        <v>0</v>
      </c>
      <c r="L298" s="242">
        <f t="shared" si="204"/>
        <v>448605888.32415581</v>
      </c>
      <c r="M298" s="247">
        <f t="shared" si="204"/>
        <v>0</v>
      </c>
    </row>
    <row r="299" spans="2:15" x14ac:dyDescent="0.2">
      <c r="B299" s="4" t="s">
        <v>524</v>
      </c>
      <c r="C299" s="254"/>
      <c r="D299" s="242">
        <f t="shared" ref="D299:M299" si="205">D77+D151+D225</f>
        <v>0</v>
      </c>
      <c r="E299" s="242">
        <f t="shared" si="205"/>
        <v>0</v>
      </c>
      <c r="F299" s="242">
        <f t="shared" si="205"/>
        <v>0</v>
      </c>
      <c r="G299" s="242">
        <f t="shared" si="205"/>
        <v>0</v>
      </c>
      <c r="H299" s="242">
        <f t="shared" si="205"/>
        <v>0</v>
      </c>
      <c r="I299" s="242">
        <f t="shared" si="205"/>
        <v>26428327.054761406</v>
      </c>
      <c r="J299" s="242">
        <f t="shared" si="205"/>
        <v>26428327.054761406</v>
      </c>
      <c r="K299" s="242">
        <f t="shared" si="205"/>
        <v>50373824.220389284</v>
      </c>
      <c r="L299" s="242">
        <f t="shared" si="205"/>
        <v>50373824.220389284</v>
      </c>
      <c r="M299" s="247">
        <f t="shared" si="205"/>
        <v>77650065.842217997</v>
      </c>
    </row>
    <row r="300" spans="2:15" x14ac:dyDescent="0.2">
      <c r="B300" s="4" t="s">
        <v>526</v>
      </c>
      <c r="C300" s="254"/>
      <c r="D300" s="242">
        <f t="shared" ref="D300:M300" si="206">D78+D152+D226</f>
        <v>0</v>
      </c>
      <c r="E300" s="242">
        <f t="shared" si="206"/>
        <v>0</v>
      </c>
      <c r="F300" s="242">
        <f t="shared" si="206"/>
        <v>0</v>
      </c>
      <c r="G300" s="242">
        <f t="shared" si="206"/>
        <v>0</v>
      </c>
      <c r="H300" s="242">
        <f t="shared" si="206"/>
        <v>0</v>
      </c>
      <c r="I300" s="242">
        <f t="shared" si="206"/>
        <v>0</v>
      </c>
      <c r="J300" s="242">
        <f t="shared" si="206"/>
        <v>0</v>
      </c>
      <c r="K300" s="242">
        <f t="shared" si="206"/>
        <v>0</v>
      </c>
      <c r="L300" s="242">
        <f t="shared" si="206"/>
        <v>0</v>
      </c>
      <c r="M300" s="247">
        <f t="shared" si="206"/>
        <v>-1272056362.1679552</v>
      </c>
      <c r="O300" s="285"/>
    </row>
    <row r="301" spans="2:15" x14ac:dyDescent="0.2">
      <c r="B301" s="4"/>
      <c r="C301" s="254"/>
      <c r="D301" s="242"/>
      <c r="E301" s="242"/>
      <c r="F301" s="242"/>
      <c r="G301" s="242"/>
      <c r="H301" s="242"/>
      <c r="I301" s="242"/>
      <c r="J301" s="242"/>
      <c r="K301" s="242"/>
      <c r="L301" s="242"/>
      <c r="M301" s="247"/>
    </row>
    <row r="302" spans="2:15" ht="12.75" thickBot="1" x14ac:dyDescent="0.25">
      <c r="B302" s="4" t="s">
        <v>528</v>
      </c>
      <c r="C302" s="254"/>
      <c r="D302" s="242">
        <f ca="1">D266+D270+D281+D282+D283+D289+D290+D291+D297+D298+D299+D300</f>
        <v>-10706077.210642254</v>
      </c>
      <c r="E302" s="242">
        <f t="shared" ref="E302:M302" ca="1" si="207">E266+E270+E281+E282+E283+E289+E290+E291+E297+E298+E299+E300</f>
        <v>-5585265.2088118494</v>
      </c>
      <c r="F302" s="242">
        <f t="shared" ca="1" si="207"/>
        <v>-114598957.26182494</v>
      </c>
      <c r="G302" s="242">
        <f t="shared" ca="1" si="207"/>
        <v>-12010348.675525904</v>
      </c>
      <c r="H302" s="242">
        <f t="shared" ca="1" si="207"/>
        <v>54664941.719907224</v>
      </c>
      <c r="I302" s="242">
        <f t="shared" ca="1" si="207"/>
        <v>47134624.133226275</v>
      </c>
      <c r="J302" s="242">
        <f t="shared" ca="1" si="207"/>
        <v>30017544.75072312</v>
      </c>
      <c r="K302" s="242">
        <f t="shared" ca="1" si="207"/>
        <v>112753020.34814745</v>
      </c>
      <c r="L302" s="242">
        <f t="shared" ca="1" si="207"/>
        <v>310348269.29938847</v>
      </c>
      <c r="M302" s="247">
        <f t="shared" ca="1" si="207"/>
        <v>1141871214.9173381</v>
      </c>
    </row>
    <row r="303" spans="2:15" ht="12.75" thickBot="1" x14ac:dyDescent="0.25">
      <c r="B303" s="236" t="s">
        <v>530</v>
      </c>
      <c r="C303" s="298">
        <f ca="1">IFERROR(IRR(D302:M302),"n/a")</f>
        <v>0.49664475133819264</v>
      </c>
      <c r="D303" s="242"/>
      <c r="E303" s="242"/>
      <c r="F303" s="242"/>
      <c r="G303" s="242"/>
      <c r="H303" s="242"/>
      <c r="I303" s="242"/>
      <c r="J303" s="242"/>
      <c r="K303" s="242"/>
      <c r="L303" s="242"/>
      <c r="M303" s="247"/>
    </row>
    <row r="304" spans="2:15" ht="12.75" thickBot="1" x14ac:dyDescent="0.25">
      <c r="B304" s="236" t="s">
        <v>529</v>
      </c>
      <c r="C304" s="310">
        <f ca="1">-SUMIF(D302:M302,"&gt;"&amp;0)/SUMIF(D302:M302,"&lt;"&amp;0)</f>
        <v>11.873911243090099</v>
      </c>
      <c r="D304" s="295"/>
      <c r="E304" s="295"/>
      <c r="F304" s="295"/>
      <c r="G304" s="295"/>
      <c r="H304" s="295"/>
      <c r="I304" s="295"/>
      <c r="J304" s="295"/>
      <c r="K304" s="295"/>
      <c r="L304" s="295"/>
      <c r="M304" s="278"/>
    </row>
  </sheetData>
  <mergeCells count="5">
    <mergeCell ref="B2:C2"/>
    <mergeCell ref="B6:M6"/>
    <mergeCell ref="O10:R10"/>
    <mergeCell ref="O84:R84"/>
    <mergeCell ref="O158:R1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887C-6758-429F-B5C8-BA2AEF06AF15}">
  <sheetPr>
    <tabColor theme="8" tint="0.39997558519241921"/>
  </sheetPr>
  <dimension ref="B1:AC64"/>
  <sheetViews>
    <sheetView topLeftCell="A10" zoomScaleNormal="100" workbookViewId="0">
      <pane xSplit="2" topLeftCell="I1" activePane="topRight" state="frozen"/>
      <selection pane="topRight" activeCell="N21" sqref="N21"/>
    </sheetView>
    <sheetView workbookViewId="1"/>
  </sheetViews>
  <sheetFormatPr defaultRowHeight="12" x14ac:dyDescent="0.2"/>
  <cols>
    <col min="1" max="1" width="2.85546875" style="1" customWidth="1"/>
    <col min="2" max="2" width="30.7109375" style="1" bestFit="1" customWidth="1"/>
    <col min="3" max="21" width="12.140625" style="1" customWidth="1"/>
    <col min="22" max="16384" width="9.140625" style="1"/>
  </cols>
  <sheetData>
    <row r="1" spans="2:29" ht="12.75" thickBot="1" x14ac:dyDescent="0.25">
      <c r="C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x14ac:dyDescent="0.2">
      <c r="B2" s="417" t="s">
        <v>59</v>
      </c>
      <c r="C2" s="418"/>
      <c r="N2" s="3"/>
      <c r="O2" s="3"/>
      <c r="P2" s="3"/>
      <c r="Q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x14ac:dyDescent="0.2">
      <c r="B3" s="4" t="s">
        <v>58</v>
      </c>
      <c r="C3" s="170" t="s">
        <v>57</v>
      </c>
      <c r="N3" s="3"/>
      <c r="O3" s="3"/>
      <c r="P3" s="3"/>
      <c r="Q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ht="12.75" thickBot="1" x14ac:dyDescent="0.25">
      <c r="B4" s="6" t="s">
        <v>56</v>
      </c>
      <c r="C4" s="171">
        <v>181430</v>
      </c>
      <c r="N4" s="3"/>
      <c r="O4" s="3"/>
      <c r="P4" s="3"/>
      <c r="Q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12.75" thickBot="1" x14ac:dyDescent="0.25">
      <c r="C5" s="2"/>
      <c r="N5" s="3"/>
      <c r="O5" s="3"/>
      <c r="P5" s="3"/>
      <c r="Q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x14ac:dyDescent="0.2">
      <c r="B6" s="419" t="s">
        <v>55</v>
      </c>
      <c r="C6" s="420"/>
      <c r="D6" s="421"/>
      <c r="N6" s="3"/>
      <c r="O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9" x14ac:dyDescent="0.2">
      <c r="B7" s="8" t="s">
        <v>54</v>
      </c>
      <c r="C7" s="282">
        <f>SUM('Assumptions-Land&amp;Infrastructure'!J8:J10)</f>
        <v>709000</v>
      </c>
      <c r="D7" s="10" t="str">
        <f>"/ "&amp;TEXT(C7/43560,"00.00")</f>
        <v>/ 16.28</v>
      </c>
      <c r="N7" s="3"/>
      <c r="O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9" x14ac:dyDescent="0.2">
      <c r="B8" s="4" t="s">
        <v>66</v>
      </c>
      <c r="C8" s="11">
        <f>U28</f>
        <v>2749395.14</v>
      </c>
      <c r="D8" s="13"/>
      <c r="N8" s="3"/>
      <c r="O8" s="157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9" ht="12.75" thickBot="1" x14ac:dyDescent="0.25">
      <c r="B9" s="6" t="s">
        <v>53</v>
      </c>
      <c r="C9" s="14">
        <f>C8/C7</f>
        <v>3.87784928067701</v>
      </c>
      <c r="D9" s="16"/>
      <c r="L9" s="3"/>
      <c r="M9" s="3"/>
      <c r="N9" s="3"/>
      <c r="O9" s="15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9" ht="12.75" thickBot="1" x14ac:dyDescent="0.25">
      <c r="B10" s="12"/>
      <c r="C10" s="17"/>
      <c r="D10" s="12"/>
      <c r="E10" s="12"/>
      <c r="F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x14ac:dyDescent="0.2">
      <c r="B11" s="359" t="s">
        <v>80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1"/>
      <c r="V11" s="3"/>
      <c r="W11" s="3"/>
      <c r="X11" s="3"/>
      <c r="Y11" s="3"/>
      <c r="Z11" s="3"/>
      <c r="AA11" s="3"/>
      <c r="AB11" s="3"/>
      <c r="AC11" s="3"/>
    </row>
    <row r="12" spans="2:29" x14ac:dyDescent="0.2">
      <c r="B12" s="68" t="s">
        <v>52</v>
      </c>
      <c r="C12" s="18" t="s">
        <v>51</v>
      </c>
      <c r="D12" s="18" t="s">
        <v>50</v>
      </c>
      <c r="E12" s="18" t="s">
        <v>49</v>
      </c>
      <c r="F12" s="18" t="s">
        <v>48</v>
      </c>
      <c r="G12" s="18" t="s">
        <v>47</v>
      </c>
      <c r="H12" s="18" t="s">
        <v>46</v>
      </c>
      <c r="I12" s="18" t="s">
        <v>45</v>
      </c>
      <c r="J12" s="18" t="s">
        <v>44</v>
      </c>
      <c r="K12" s="18" t="s">
        <v>43</v>
      </c>
      <c r="L12" s="18" t="s">
        <v>42</v>
      </c>
      <c r="M12" s="18" t="s">
        <v>41</v>
      </c>
      <c r="N12" s="18" t="s">
        <v>40</v>
      </c>
      <c r="O12" s="18" t="s">
        <v>39</v>
      </c>
      <c r="P12" s="18" t="s">
        <v>38</v>
      </c>
      <c r="Q12" s="18" t="s">
        <v>37</v>
      </c>
      <c r="R12" s="19"/>
      <c r="S12" s="20"/>
      <c r="T12" s="21"/>
      <c r="U12" s="69"/>
      <c r="V12" s="3"/>
      <c r="W12" s="3"/>
      <c r="X12" s="3"/>
      <c r="Y12" s="3"/>
      <c r="Z12" s="3"/>
      <c r="AA12" s="3"/>
      <c r="AB12" s="3"/>
      <c r="AC12" s="3"/>
    </row>
    <row r="13" spans="2:29" x14ac:dyDescent="0.2">
      <c r="B13" s="70" t="s">
        <v>67</v>
      </c>
      <c r="C13" s="22" t="s">
        <v>36</v>
      </c>
      <c r="D13" s="22" t="s">
        <v>35</v>
      </c>
      <c r="E13" s="22" t="s">
        <v>35</v>
      </c>
      <c r="F13" s="22" t="s">
        <v>71</v>
      </c>
      <c r="G13" s="22" t="s">
        <v>35</v>
      </c>
      <c r="H13" s="22" t="s">
        <v>36</v>
      </c>
      <c r="I13" s="22" t="s">
        <v>35</v>
      </c>
      <c r="J13" s="22" t="s">
        <v>72</v>
      </c>
      <c r="K13" s="22" t="s">
        <v>35</v>
      </c>
      <c r="L13" s="22" t="s">
        <v>73</v>
      </c>
      <c r="M13" s="22" t="s">
        <v>36</v>
      </c>
      <c r="N13" s="22" t="s">
        <v>36</v>
      </c>
      <c r="O13" s="22" t="s">
        <v>36</v>
      </c>
      <c r="P13" s="22" t="s">
        <v>73</v>
      </c>
      <c r="Q13" s="22" t="s">
        <v>34</v>
      </c>
      <c r="R13" s="23"/>
      <c r="S13" s="24"/>
      <c r="T13" s="25"/>
      <c r="U13" s="71"/>
      <c r="V13" s="3"/>
      <c r="W13" s="3"/>
      <c r="X13" s="3"/>
      <c r="Y13" s="3"/>
      <c r="Z13" s="3"/>
      <c r="AA13" s="3"/>
      <c r="AB13" s="3"/>
      <c r="AC13" s="3"/>
    </row>
    <row r="14" spans="2:29" x14ac:dyDescent="0.2">
      <c r="B14" s="70" t="s">
        <v>68</v>
      </c>
      <c r="C14" s="22"/>
      <c r="D14" s="22" t="s">
        <v>70</v>
      </c>
      <c r="E14" s="22" t="s">
        <v>70</v>
      </c>
      <c r="F14" s="22" t="s">
        <v>35</v>
      </c>
      <c r="G14" s="22" t="s">
        <v>70</v>
      </c>
      <c r="H14" s="22" t="s">
        <v>70</v>
      </c>
      <c r="I14" s="22"/>
      <c r="J14" s="22" t="s">
        <v>35</v>
      </c>
      <c r="K14" s="22"/>
      <c r="L14" s="22" t="s">
        <v>70</v>
      </c>
      <c r="M14" s="22" t="s">
        <v>70</v>
      </c>
      <c r="N14" s="22" t="s">
        <v>70</v>
      </c>
      <c r="O14" s="22" t="s">
        <v>74</v>
      </c>
      <c r="P14" s="22" t="s">
        <v>75</v>
      </c>
      <c r="Q14" s="22"/>
      <c r="R14" s="23"/>
      <c r="S14" s="24"/>
      <c r="T14" s="25"/>
      <c r="U14" s="71"/>
      <c r="V14" s="3"/>
      <c r="W14" s="3"/>
      <c r="X14" s="3"/>
      <c r="Y14" s="3"/>
      <c r="Z14" s="3"/>
      <c r="AA14" s="3"/>
      <c r="AB14" s="3"/>
      <c r="AC14" s="3"/>
    </row>
    <row r="15" spans="2:29" x14ac:dyDescent="0.2">
      <c r="B15" s="70" t="s">
        <v>69</v>
      </c>
      <c r="C15" s="22"/>
      <c r="D15" s="22"/>
      <c r="E15" s="22"/>
      <c r="F15" s="22"/>
      <c r="G15" s="22"/>
      <c r="H15" s="22"/>
      <c r="I15" s="22"/>
      <c r="J15" s="22" t="s">
        <v>36</v>
      </c>
      <c r="K15" s="22"/>
      <c r="L15" s="22"/>
      <c r="M15" s="22"/>
      <c r="N15" s="22"/>
      <c r="O15" s="22"/>
      <c r="P15" s="22"/>
      <c r="Q15" s="22"/>
      <c r="R15" s="23"/>
      <c r="S15" s="24"/>
      <c r="T15" s="25"/>
      <c r="U15" s="71"/>
      <c r="V15" s="3"/>
      <c r="W15" s="3"/>
      <c r="X15" s="3"/>
      <c r="Y15" s="3"/>
      <c r="Z15" s="3"/>
      <c r="AA15" s="3"/>
      <c r="AB15" s="3"/>
      <c r="AC15" s="3"/>
    </row>
    <row r="16" spans="2:29" x14ac:dyDescent="0.2">
      <c r="B16" s="70" t="s">
        <v>33</v>
      </c>
      <c r="C16" s="22">
        <v>38</v>
      </c>
      <c r="D16" s="22">
        <v>20</v>
      </c>
      <c r="E16" s="22">
        <v>25</v>
      </c>
      <c r="F16" s="22">
        <v>10</v>
      </c>
      <c r="G16" s="22">
        <v>14</v>
      </c>
      <c r="H16" s="22">
        <v>9</v>
      </c>
      <c r="I16" s="22">
        <v>14</v>
      </c>
      <c r="J16" s="22">
        <v>9</v>
      </c>
      <c r="K16" s="22">
        <v>8</v>
      </c>
      <c r="L16" s="22">
        <v>7</v>
      </c>
      <c r="M16" s="22">
        <v>7</v>
      </c>
      <c r="N16" s="22">
        <v>6</v>
      </c>
      <c r="O16" s="22">
        <v>8</v>
      </c>
      <c r="P16" s="22">
        <v>16</v>
      </c>
      <c r="Q16" s="22">
        <v>4</v>
      </c>
      <c r="R16" s="23" t="s">
        <v>76</v>
      </c>
      <c r="S16" s="24" t="s">
        <v>76</v>
      </c>
      <c r="T16" s="25" t="s">
        <v>76</v>
      </c>
      <c r="U16" s="71" t="s">
        <v>76</v>
      </c>
      <c r="V16" s="3"/>
      <c r="W16" s="3"/>
      <c r="X16" s="3"/>
      <c r="Y16" s="3"/>
      <c r="Z16" s="3"/>
      <c r="AA16" s="3"/>
      <c r="AB16" s="3"/>
      <c r="AC16" s="3"/>
    </row>
    <row r="17" spans="2:29" x14ac:dyDescent="0.2">
      <c r="B17" s="70" t="s">
        <v>31</v>
      </c>
      <c r="C17" s="26">
        <v>390</v>
      </c>
      <c r="D17" s="26">
        <v>256</v>
      </c>
      <c r="E17" s="26">
        <v>292</v>
      </c>
      <c r="F17" s="26">
        <v>115</v>
      </c>
      <c r="G17" s="26">
        <v>161</v>
      </c>
      <c r="H17" s="26">
        <v>103</v>
      </c>
      <c r="I17" s="26">
        <v>161</v>
      </c>
      <c r="J17" s="26">
        <v>103</v>
      </c>
      <c r="K17" s="26">
        <v>92</v>
      </c>
      <c r="L17" s="26">
        <v>69</v>
      </c>
      <c r="M17" s="26">
        <v>69</v>
      </c>
      <c r="N17" s="26">
        <v>59</v>
      </c>
      <c r="O17" s="26">
        <v>85</v>
      </c>
      <c r="P17" s="26">
        <v>207</v>
      </c>
      <c r="Q17" s="26">
        <v>52</v>
      </c>
      <c r="R17" s="23" t="s">
        <v>77</v>
      </c>
      <c r="S17" s="24" t="s">
        <v>77</v>
      </c>
      <c r="T17" s="25" t="s">
        <v>77</v>
      </c>
      <c r="U17" s="71" t="s">
        <v>78</v>
      </c>
      <c r="V17" s="3"/>
      <c r="W17" s="3"/>
      <c r="X17" s="3"/>
      <c r="Y17" s="3"/>
      <c r="Z17" s="3"/>
      <c r="AA17" s="3"/>
      <c r="AB17" s="3"/>
      <c r="AC17" s="3"/>
    </row>
    <row r="18" spans="2:29" x14ac:dyDescent="0.2">
      <c r="B18" s="70" t="s">
        <v>30</v>
      </c>
      <c r="C18" s="22" t="s">
        <v>29</v>
      </c>
      <c r="D18" s="22" t="s">
        <v>29</v>
      </c>
      <c r="E18" s="22" t="s">
        <v>29</v>
      </c>
      <c r="F18" s="22" t="s">
        <v>29</v>
      </c>
      <c r="G18" s="22" t="s">
        <v>29</v>
      </c>
      <c r="H18" s="22" t="s">
        <v>28</v>
      </c>
      <c r="I18" s="22" t="s">
        <v>28</v>
      </c>
      <c r="J18" s="22" t="s">
        <v>28</v>
      </c>
      <c r="K18" s="22" t="s">
        <v>28</v>
      </c>
      <c r="L18" s="22" t="s">
        <v>27</v>
      </c>
      <c r="M18" s="22" t="s">
        <v>27</v>
      </c>
      <c r="N18" s="22" t="s">
        <v>27</v>
      </c>
      <c r="O18" s="22" t="s">
        <v>28</v>
      </c>
      <c r="P18" s="22" t="s">
        <v>27</v>
      </c>
      <c r="Q18" s="22" t="s">
        <v>28</v>
      </c>
      <c r="R18" s="27" t="s">
        <v>29</v>
      </c>
      <c r="S18" s="28" t="s">
        <v>28</v>
      </c>
      <c r="T18" s="29" t="s">
        <v>27</v>
      </c>
      <c r="U18" s="72" t="s">
        <v>79</v>
      </c>
      <c r="V18" s="3"/>
      <c r="W18" s="3"/>
      <c r="X18" s="3"/>
      <c r="Y18" s="3"/>
      <c r="Z18" s="3"/>
      <c r="AA18" s="3"/>
      <c r="AB18" s="3"/>
      <c r="AC18" s="3"/>
    </row>
    <row r="19" spans="2:29" x14ac:dyDescent="0.2">
      <c r="B19" s="82" t="s">
        <v>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7"/>
      <c r="T19" s="48"/>
      <c r="U19" s="83"/>
      <c r="V19" s="3"/>
      <c r="W19" s="3"/>
      <c r="X19" s="3"/>
      <c r="Y19" s="3"/>
      <c r="Z19" s="3"/>
      <c r="AA19" s="3"/>
      <c r="AB19" s="3"/>
      <c r="AC19" s="3"/>
    </row>
    <row r="20" spans="2:29" x14ac:dyDescent="0.2">
      <c r="B20" s="70" t="s">
        <v>8</v>
      </c>
      <c r="C20" s="38">
        <f t="shared" ref="C20:Q20" si="0">SUMPRODUCT(C38:C41,C56:C59)</f>
        <v>294016.14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8">
        <f t="shared" si="0"/>
        <v>0</v>
      </c>
      <c r="H20" s="38">
        <f t="shared" si="0"/>
        <v>83312.59</v>
      </c>
      <c r="I20" s="38">
        <f t="shared" si="0"/>
        <v>0</v>
      </c>
      <c r="J20" s="38">
        <f t="shared" si="0"/>
        <v>48006.993999999999</v>
      </c>
      <c r="K20" s="38">
        <f t="shared" si="0"/>
        <v>0</v>
      </c>
      <c r="L20" s="38">
        <f t="shared" si="0"/>
        <v>0</v>
      </c>
      <c r="M20" s="38">
        <f t="shared" si="0"/>
        <v>85519.184000000008</v>
      </c>
      <c r="N20" s="38">
        <f t="shared" si="0"/>
        <v>73571.256500000003</v>
      </c>
      <c r="O20" s="38">
        <f t="shared" si="0"/>
        <v>103656.35699999999</v>
      </c>
      <c r="P20" s="38">
        <f t="shared" si="0"/>
        <v>0</v>
      </c>
      <c r="Q20" s="38">
        <f t="shared" si="0"/>
        <v>0</v>
      </c>
      <c r="R20" s="39">
        <f>SUMIF($C$18:$Q$18,R$18,$C20:$Q20)</f>
        <v>294016.14</v>
      </c>
      <c r="S20" s="40">
        <f t="shared" ref="S20:T27" si="1">SUMIF($C$18:$Q$18,S$18,$C20:$Q20)</f>
        <v>234975.94099999999</v>
      </c>
      <c r="T20" s="41">
        <f t="shared" si="1"/>
        <v>159090.44050000003</v>
      </c>
      <c r="U20" s="79">
        <f>SUM(R20:T20)</f>
        <v>688082.52150000003</v>
      </c>
      <c r="V20" s="3"/>
      <c r="W20" s="311">
        <f>R20/R$28</f>
        <v>0.24790230932270449</v>
      </c>
      <c r="X20" s="311">
        <f>S20/S$28</f>
        <v>0.25414261456245679</v>
      </c>
      <c r="Y20" s="311">
        <f t="shared" ref="Y20:Y27" si="2">T20/T$28</f>
        <v>0.2490473335775428</v>
      </c>
      <c r="Z20" s="311">
        <f t="shared" ref="Z20:Z27" si="3">U20/U$28</f>
        <v>0.25026687197097469</v>
      </c>
      <c r="AA20" s="3"/>
      <c r="AB20" s="3"/>
      <c r="AC20" s="3"/>
    </row>
    <row r="21" spans="2:29" x14ac:dyDescent="0.2">
      <c r="B21" s="70" t="s">
        <v>7</v>
      </c>
      <c r="C21" s="167">
        <v>0</v>
      </c>
      <c r="D21" s="167">
        <v>12614</v>
      </c>
      <c r="E21" s="167">
        <v>13007</v>
      </c>
      <c r="F21" s="167">
        <v>0</v>
      </c>
      <c r="G21" s="167">
        <v>11491</v>
      </c>
      <c r="H21" s="167">
        <v>15399</v>
      </c>
      <c r="I21" s="167">
        <v>0</v>
      </c>
      <c r="J21" s="167">
        <v>22926</v>
      </c>
      <c r="K21" s="167">
        <v>0</v>
      </c>
      <c r="L21" s="167">
        <v>9772</v>
      </c>
      <c r="M21" s="167">
        <v>19566</v>
      </c>
      <c r="N21" s="167">
        <v>25721</v>
      </c>
      <c r="O21" s="167">
        <v>54413</v>
      </c>
      <c r="P21" s="167">
        <v>15329</v>
      </c>
      <c r="Q21" s="167">
        <v>0</v>
      </c>
      <c r="R21" s="39">
        <f t="shared" ref="R21:R27" si="4">SUMIF($C$18:$Q$18,R$18,$C21:$Q21)</f>
        <v>37112</v>
      </c>
      <c r="S21" s="40">
        <f t="shared" si="1"/>
        <v>92738</v>
      </c>
      <c r="T21" s="41">
        <f t="shared" si="1"/>
        <v>70388</v>
      </c>
      <c r="U21" s="79">
        <f t="shared" ref="U21:U28" si="5">SUM(R21:T21)</f>
        <v>200238</v>
      </c>
      <c r="V21" s="3"/>
      <c r="W21" s="311">
        <f t="shared" ref="W21:W27" si="6">R21/R$28</f>
        <v>3.129131109463653E-2</v>
      </c>
      <c r="X21" s="311">
        <f t="shared" ref="X21:X27" si="7">S21/S$28</f>
        <v>0.1003025147553005</v>
      </c>
      <c r="Y21" s="311">
        <f t="shared" si="2"/>
        <v>0.11018854219500435</v>
      </c>
      <c r="Z21" s="311">
        <f t="shared" si="3"/>
        <v>7.2829837038265802E-2</v>
      </c>
      <c r="AA21" s="3"/>
      <c r="AB21" s="3"/>
      <c r="AC21" s="3"/>
    </row>
    <row r="22" spans="2:29" x14ac:dyDescent="0.2">
      <c r="B22" s="70" t="s">
        <v>6</v>
      </c>
      <c r="C22" s="167">
        <v>0</v>
      </c>
      <c r="D22" s="167">
        <f>D28-D21</f>
        <v>202549</v>
      </c>
      <c r="E22" s="167">
        <f>E28-E21</f>
        <v>284654</v>
      </c>
      <c r="F22" s="167">
        <f>F28-F24</f>
        <v>75154</v>
      </c>
      <c r="G22" s="167">
        <f>G28-G21</f>
        <v>167747</v>
      </c>
      <c r="H22" s="167">
        <v>0</v>
      </c>
      <c r="I22" s="167">
        <v>202863</v>
      </c>
      <c r="J22" s="167">
        <v>107415</v>
      </c>
      <c r="K22" s="167">
        <v>195286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39">
        <f t="shared" si="4"/>
        <v>730104</v>
      </c>
      <c r="S22" s="40">
        <f t="shared" si="1"/>
        <v>505564</v>
      </c>
      <c r="T22" s="41">
        <f t="shared" si="1"/>
        <v>0</v>
      </c>
      <c r="U22" s="79">
        <f t="shared" si="5"/>
        <v>1235668</v>
      </c>
      <c r="V22" s="3"/>
      <c r="W22" s="311">
        <f t="shared" si="6"/>
        <v>0.61559364613705836</v>
      </c>
      <c r="X22" s="311">
        <f t="shared" si="7"/>
        <v>0.54680218000979897</v>
      </c>
      <c r="Y22" s="311">
        <f t="shared" si="2"/>
        <v>0</v>
      </c>
      <c r="Z22" s="311">
        <f t="shared" si="3"/>
        <v>0.44943267048911711</v>
      </c>
      <c r="AA22" s="3"/>
      <c r="AB22" s="3"/>
      <c r="AC22" s="3"/>
    </row>
    <row r="23" spans="2:29" x14ac:dyDescent="0.2">
      <c r="B23" s="70" t="s">
        <v>5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f>L28-L21</f>
        <v>79548</v>
      </c>
      <c r="M23" s="167">
        <v>0</v>
      </c>
      <c r="N23" s="167">
        <v>0</v>
      </c>
      <c r="O23" s="167">
        <v>0</v>
      </c>
      <c r="P23" s="167">
        <f>P28-P21-P26</f>
        <v>254126</v>
      </c>
      <c r="Q23" s="167">
        <v>0</v>
      </c>
      <c r="R23" s="39">
        <f t="shared" si="4"/>
        <v>0</v>
      </c>
      <c r="S23" s="40">
        <f t="shared" si="1"/>
        <v>0</v>
      </c>
      <c r="T23" s="41">
        <f t="shared" si="1"/>
        <v>333674</v>
      </c>
      <c r="U23" s="79">
        <f t="shared" si="5"/>
        <v>333674</v>
      </c>
      <c r="V23" s="3"/>
      <c r="W23" s="311">
        <f t="shared" si="6"/>
        <v>0</v>
      </c>
      <c r="X23" s="311">
        <f t="shared" si="7"/>
        <v>0</v>
      </c>
      <c r="Y23" s="311">
        <f t="shared" si="2"/>
        <v>0.52234829272569017</v>
      </c>
      <c r="Z23" s="311">
        <f t="shared" si="3"/>
        <v>0.1213626936141307</v>
      </c>
      <c r="AA23" s="3"/>
      <c r="AB23" s="3"/>
      <c r="AC23" s="3"/>
    </row>
    <row r="24" spans="2:29" x14ac:dyDescent="0.2">
      <c r="B24" s="70" t="s">
        <v>4</v>
      </c>
      <c r="C24" s="167">
        <v>0</v>
      </c>
      <c r="D24" s="167">
        <v>0</v>
      </c>
      <c r="E24" s="167">
        <v>0</v>
      </c>
      <c r="F24" s="167">
        <v>14413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39">
        <f t="shared" si="4"/>
        <v>14413</v>
      </c>
      <c r="S24" s="40">
        <f t="shared" si="1"/>
        <v>0</v>
      </c>
      <c r="T24" s="41">
        <f t="shared" si="1"/>
        <v>0</v>
      </c>
      <c r="U24" s="79">
        <f t="shared" si="5"/>
        <v>14413</v>
      </c>
      <c r="V24" s="3"/>
      <c r="W24" s="311">
        <f t="shared" si="6"/>
        <v>1.2152448448129887E-2</v>
      </c>
      <c r="X24" s="311">
        <f t="shared" si="7"/>
        <v>0</v>
      </c>
      <c r="Y24" s="311">
        <f t="shared" si="2"/>
        <v>0</v>
      </c>
      <c r="Z24" s="311">
        <f t="shared" si="3"/>
        <v>5.2422439358789288E-3</v>
      </c>
      <c r="AA24" s="3"/>
      <c r="AB24" s="3"/>
      <c r="AC24" s="3"/>
    </row>
    <row r="25" spans="2:29" x14ac:dyDescent="0.2">
      <c r="B25" s="70" t="s">
        <v>3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f>209*137</f>
        <v>28633</v>
      </c>
      <c r="R25" s="39">
        <f t="shared" si="4"/>
        <v>0</v>
      </c>
      <c r="S25" s="40">
        <f t="shared" si="1"/>
        <v>28633</v>
      </c>
      <c r="T25" s="41">
        <f t="shared" si="1"/>
        <v>0</v>
      </c>
      <c r="U25" s="79">
        <f t="shared" si="5"/>
        <v>28633</v>
      </c>
      <c r="V25" s="3"/>
      <c r="W25" s="311">
        <f t="shared" si="6"/>
        <v>0</v>
      </c>
      <c r="X25" s="311">
        <f t="shared" si="7"/>
        <v>3.096855555423364E-2</v>
      </c>
      <c r="Y25" s="311">
        <f t="shared" si="2"/>
        <v>0</v>
      </c>
      <c r="Z25" s="311">
        <f t="shared" si="3"/>
        <v>1.0414290613752958E-2</v>
      </c>
      <c r="AA25" s="3"/>
      <c r="AB25" s="3"/>
      <c r="AC25" s="3"/>
    </row>
    <row r="26" spans="2:29" x14ac:dyDescent="0.2">
      <c r="B26" s="70" t="s">
        <v>140</v>
      </c>
      <c r="C26" s="167">
        <v>0</v>
      </c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35987</v>
      </c>
      <c r="Q26" s="167">
        <v>0</v>
      </c>
      <c r="R26" s="39">
        <f t="shared" si="4"/>
        <v>0</v>
      </c>
      <c r="S26" s="40">
        <f t="shared" si="1"/>
        <v>0</v>
      </c>
      <c r="T26" s="41">
        <f t="shared" si="1"/>
        <v>35987</v>
      </c>
      <c r="U26" s="79">
        <f t="shared" ref="U26" si="8">SUM(R26:T26)</f>
        <v>35987</v>
      </c>
      <c r="V26" s="3"/>
      <c r="W26" s="311">
        <f t="shared" si="6"/>
        <v>0</v>
      </c>
      <c r="X26" s="311">
        <f t="shared" si="7"/>
        <v>0</v>
      </c>
      <c r="Y26" s="311">
        <f t="shared" si="2"/>
        <v>5.6335668977263477E-2</v>
      </c>
      <c r="Z26" s="311">
        <f t="shared" si="3"/>
        <v>1.3089060745193577E-2</v>
      </c>
      <c r="AA26" s="3"/>
      <c r="AB26" s="3"/>
      <c r="AC26" s="3"/>
    </row>
    <row r="27" spans="2:29" ht="14.25" x14ac:dyDescent="0.35">
      <c r="B27" s="70" t="s">
        <v>2</v>
      </c>
      <c r="C27" s="168">
        <v>110371</v>
      </c>
      <c r="D27" s="168">
        <v>0</v>
      </c>
      <c r="E27" s="168">
        <v>0</v>
      </c>
      <c r="F27" s="168">
        <v>0</v>
      </c>
      <c r="G27" s="168">
        <v>0</v>
      </c>
      <c r="H27" s="168">
        <v>20422</v>
      </c>
      <c r="I27" s="168">
        <v>0</v>
      </c>
      <c r="J27" s="168">
        <v>15722</v>
      </c>
      <c r="K27" s="168">
        <v>0</v>
      </c>
      <c r="L27" s="168">
        <v>0</v>
      </c>
      <c r="M27" s="168">
        <v>22299</v>
      </c>
      <c r="N27" s="168">
        <v>17358</v>
      </c>
      <c r="O27" s="168">
        <v>26528</v>
      </c>
      <c r="P27" s="168">
        <v>0</v>
      </c>
      <c r="Q27" s="168">
        <v>0</v>
      </c>
      <c r="R27" s="42">
        <f t="shared" si="4"/>
        <v>110371</v>
      </c>
      <c r="S27" s="43">
        <f t="shared" si="1"/>
        <v>62672</v>
      </c>
      <c r="T27" s="44">
        <f t="shared" si="1"/>
        <v>39657</v>
      </c>
      <c r="U27" s="80">
        <f t="shared" si="5"/>
        <v>212700</v>
      </c>
      <c r="V27" s="3"/>
      <c r="W27" s="311">
        <f t="shared" si="6"/>
        <v>9.3060284997470599E-2</v>
      </c>
      <c r="X27" s="311">
        <f t="shared" si="7"/>
        <v>6.7784071305658875E-2</v>
      </c>
      <c r="Y27" s="311">
        <f t="shared" si="2"/>
        <v>6.2080852103018801E-2</v>
      </c>
      <c r="Z27" s="311">
        <f t="shared" si="3"/>
        <v>7.7362470350478607E-2</v>
      </c>
      <c r="AA27" s="3"/>
      <c r="AB27" s="3"/>
      <c r="AC27" s="3"/>
    </row>
    <row r="28" spans="2:29" x14ac:dyDescent="0.2">
      <c r="B28" s="75" t="s">
        <v>1</v>
      </c>
      <c r="C28" s="38">
        <f>SUM(C20:C27)</f>
        <v>404387.14</v>
      </c>
      <c r="D28" s="38">
        <v>215163</v>
      </c>
      <c r="E28" s="38">
        <v>297661</v>
      </c>
      <c r="F28" s="38">
        <v>89567</v>
      </c>
      <c r="G28" s="38">
        <v>179238</v>
      </c>
      <c r="H28" s="38">
        <v>119134</v>
      </c>
      <c r="I28" s="38">
        <v>202863</v>
      </c>
      <c r="J28" s="38">
        <v>194070</v>
      </c>
      <c r="K28" s="38">
        <v>195286</v>
      </c>
      <c r="L28" s="38">
        <v>89320</v>
      </c>
      <c r="M28" s="38">
        <v>127384</v>
      </c>
      <c r="N28" s="38">
        <v>116650</v>
      </c>
      <c r="O28" s="38">
        <v>184597</v>
      </c>
      <c r="P28" s="38">
        <v>305442</v>
      </c>
      <c r="Q28" s="38">
        <f>SUM(Q20:Q27)</f>
        <v>28633</v>
      </c>
      <c r="R28" s="39">
        <f>SUMIF($C$18:$Q$18,R$18,$C28:$Q28)</f>
        <v>1186016.1400000001</v>
      </c>
      <c r="S28" s="40">
        <f>SUMIF($C$18:$Q$18,S$18,$C28:$Q28)</f>
        <v>924583</v>
      </c>
      <c r="T28" s="41">
        <f>SUMIF($C$18:$Q$18,T$18,$C28:$Q28)</f>
        <v>638796</v>
      </c>
      <c r="U28" s="79">
        <f t="shared" si="5"/>
        <v>2749395.14</v>
      </c>
      <c r="V28" s="3"/>
      <c r="W28" s="3"/>
      <c r="X28" s="3"/>
      <c r="Y28" s="3"/>
      <c r="Z28" s="3"/>
      <c r="AA28" s="3"/>
      <c r="AB28" s="3"/>
      <c r="AC28" s="3"/>
    </row>
    <row r="29" spans="2:29" x14ac:dyDescent="0.2">
      <c r="B29" s="75" t="s">
        <v>0</v>
      </c>
      <c r="C29" s="38">
        <f>C28-C27</f>
        <v>294016.14</v>
      </c>
      <c r="D29" s="38">
        <f t="shared" ref="D29:U29" si="9">D28-D27</f>
        <v>215163</v>
      </c>
      <c r="E29" s="38">
        <f t="shared" si="9"/>
        <v>297661</v>
      </c>
      <c r="F29" s="38">
        <f t="shared" si="9"/>
        <v>89567</v>
      </c>
      <c r="G29" s="38">
        <f t="shared" si="9"/>
        <v>179238</v>
      </c>
      <c r="H29" s="38">
        <f t="shared" si="9"/>
        <v>98712</v>
      </c>
      <c r="I29" s="38">
        <f t="shared" si="9"/>
        <v>202863</v>
      </c>
      <c r="J29" s="38">
        <f t="shared" si="9"/>
        <v>178348</v>
      </c>
      <c r="K29" s="38">
        <f t="shared" si="9"/>
        <v>195286</v>
      </c>
      <c r="L29" s="38">
        <f t="shared" si="9"/>
        <v>89320</v>
      </c>
      <c r="M29" s="38">
        <f t="shared" si="9"/>
        <v>105085</v>
      </c>
      <c r="N29" s="38">
        <f t="shared" si="9"/>
        <v>99292</v>
      </c>
      <c r="O29" s="38">
        <f t="shared" si="9"/>
        <v>158069</v>
      </c>
      <c r="P29" s="38">
        <f t="shared" si="9"/>
        <v>305442</v>
      </c>
      <c r="Q29" s="38">
        <f t="shared" si="9"/>
        <v>28633</v>
      </c>
      <c r="R29" s="39">
        <f t="shared" si="9"/>
        <v>1075645.1400000001</v>
      </c>
      <c r="S29" s="40">
        <f t="shared" si="9"/>
        <v>861911</v>
      </c>
      <c r="T29" s="41">
        <f t="shared" si="9"/>
        <v>599139</v>
      </c>
      <c r="U29" s="79">
        <f t="shared" si="9"/>
        <v>2536695.14</v>
      </c>
      <c r="V29" s="3"/>
      <c r="W29" s="3"/>
      <c r="X29" s="3"/>
      <c r="Y29" s="3"/>
      <c r="Z29" s="3"/>
      <c r="AA29" s="3"/>
      <c r="AB29" s="3"/>
      <c r="AC29" s="3"/>
    </row>
    <row r="30" spans="2:29" x14ac:dyDescent="0.2">
      <c r="B30" s="81" t="s">
        <v>138</v>
      </c>
      <c r="C30" s="127">
        <f>C29/C28</f>
        <v>0.72706599918088399</v>
      </c>
      <c r="D30" s="127">
        <f t="shared" ref="D30:U30" si="10">D29/D28</f>
        <v>1</v>
      </c>
      <c r="E30" s="127">
        <f t="shared" si="10"/>
        <v>1</v>
      </c>
      <c r="F30" s="127">
        <f t="shared" si="10"/>
        <v>1</v>
      </c>
      <c r="G30" s="127">
        <f t="shared" si="10"/>
        <v>1</v>
      </c>
      <c r="H30" s="127">
        <f t="shared" si="10"/>
        <v>0.82857958265482567</v>
      </c>
      <c r="I30" s="127">
        <f t="shared" si="10"/>
        <v>1</v>
      </c>
      <c r="J30" s="127">
        <f t="shared" si="10"/>
        <v>0.91898799402277531</v>
      </c>
      <c r="K30" s="127">
        <f t="shared" si="10"/>
        <v>1</v>
      </c>
      <c r="L30" s="127">
        <f t="shared" si="10"/>
        <v>1</v>
      </c>
      <c r="M30" s="127">
        <f t="shared" si="10"/>
        <v>0.82494661809960435</v>
      </c>
      <c r="N30" s="127">
        <f t="shared" si="10"/>
        <v>0.85119588512644662</v>
      </c>
      <c r="O30" s="127">
        <f t="shared" si="10"/>
        <v>0.85629235578042984</v>
      </c>
      <c r="P30" s="127">
        <f t="shared" si="10"/>
        <v>1</v>
      </c>
      <c r="Q30" s="127">
        <f t="shared" si="10"/>
        <v>1</v>
      </c>
      <c r="R30" s="128">
        <f t="shared" si="10"/>
        <v>0.90693971500252946</v>
      </c>
      <c r="S30" s="129">
        <f t="shared" si="10"/>
        <v>0.93221592869434111</v>
      </c>
      <c r="T30" s="130">
        <f t="shared" si="10"/>
        <v>0.93791914789698116</v>
      </c>
      <c r="U30" s="131">
        <f t="shared" si="10"/>
        <v>0.92263752964952139</v>
      </c>
      <c r="V30" s="3"/>
      <c r="W30" s="3"/>
      <c r="X30" s="3"/>
      <c r="Y30" s="3"/>
      <c r="Z30" s="3"/>
      <c r="AA30" s="3"/>
      <c r="AB30" s="3"/>
      <c r="AC30" s="3"/>
    </row>
    <row r="31" spans="2:29" x14ac:dyDescent="0.2">
      <c r="B31" s="84" t="s">
        <v>26</v>
      </c>
      <c r="C31" s="12"/>
      <c r="D31" s="12"/>
      <c r="E31" s="12"/>
      <c r="F31" s="12"/>
      <c r="G31" s="1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6"/>
      <c r="T31" s="37"/>
      <c r="U31" s="76"/>
      <c r="V31" s="3"/>
      <c r="W31" s="3"/>
      <c r="X31" s="3"/>
      <c r="Y31" s="3"/>
      <c r="Z31" s="3"/>
      <c r="AA31" s="3"/>
      <c r="AB31" s="3"/>
      <c r="AC31" s="3"/>
    </row>
    <row r="32" spans="2:29" x14ac:dyDescent="0.2">
      <c r="B32" s="70" t="s">
        <v>25</v>
      </c>
      <c r="C32" s="30" t="s">
        <v>24</v>
      </c>
      <c r="D32" s="30" t="s">
        <v>11</v>
      </c>
      <c r="E32" s="30" t="s">
        <v>11</v>
      </c>
      <c r="F32" s="30" t="s">
        <v>11</v>
      </c>
      <c r="G32" s="30" t="s">
        <v>11</v>
      </c>
      <c r="H32" s="30" t="s">
        <v>24</v>
      </c>
      <c r="I32" s="30" t="s">
        <v>11</v>
      </c>
      <c r="J32" s="30" t="s">
        <v>24</v>
      </c>
      <c r="K32" s="30" t="s">
        <v>11</v>
      </c>
      <c r="L32" s="30" t="s">
        <v>11</v>
      </c>
      <c r="M32" s="30" t="s">
        <v>23</v>
      </c>
      <c r="N32" s="30" t="s">
        <v>24</v>
      </c>
      <c r="O32" s="30" t="s">
        <v>23</v>
      </c>
      <c r="P32" s="30" t="s">
        <v>11</v>
      </c>
      <c r="Q32" s="30" t="s">
        <v>11</v>
      </c>
      <c r="R32" s="31"/>
      <c r="S32" s="32"/>
      <c r="T32" s="33"/>
      <c r="U32" s="73"/>
      <c r="V32" s="3"/>
      <c r="W32" s="3"/>
      <c r="X32" s="3"/>
      <c r="Y32" s="3"/>
      <c r="Z32" s="3"/>
      <c r="AA32" s="3"/>
      <c r="AB32" s="3"/>
      <c r="AC32" s="3"/>
    </row>
    <row r="33" spans="2:29" x14ac:dyDescent="0.2">
      <c r="B33" s="70" t="s">
        <v>22</v>
      </c>
      <c r="C33" s="38">
        <f t="shared" ref="C33:Q33" si="11">SUM(C38:C41)</f>
        <v>381</v>
      </c>
      <c r="D33" s="38">
        <f t="shared" si="11"/>
        <v>0</v>
      </c>
      <c r="E33" s="38">
        <f t="shared" si="11"/>
        <v>0</v>
      </c>
      <c r="F33" s="38">
        <f t="shared" si="11"/>
        <v>0</v>
      </c>
      <c r="G33" s="38">
        <f t="shared" si="11"/>
        <v>0</v>
      </c>
      <c r="H33" s="38">
        <f t="shared" si="11"/>
        <v>128</v>
      </c>
      <c r="I33" s="38">
        <f t="shared" si="11"/>
        <v>0</v>
      </c>
      <c r="J33" s="38">
        <f t="shared" si="11"/>
        <v>72</v>
      </c>
      <c r="K33" s="38">
        <f t="shared" si="11"/>
        <v>0</v>
      </c>
      <c r="L33" s="38">
        <f t="shared" si="11"/>
        <v>0</v>
      </c>
      <c r="M33" s="38">
        <f t="shared" si="11"/>
        <v>126</v>
      </c>
      <c r="N33" s="38">
        <f t="shared" si="11"/>
        <v>101</v>
      </c>
      <c r="O33" s="38">
        <f t="shared" si="11"/>
        <v>138</v>
      </c>
      <c r="P33" s="38">
        <f t="shared" si="11"/>
        <v>0</v>
      </c>
      <c r="Q33" s="38">
        <f t="shared" si="11"/>
        <v>0</v>
      </c>
      <c r="R33" s="39">
        <f t="shared" ref="R33:T35" si="12">SUMIF($C$18:$Q$18,R$18,$C33:$Q33)</f>
        <v>381</v>
      </c>
      <c r="S33" s="40">
        <f t="shared" si="12"/>
        <v>338</v>
      </c>
      <c r="T33" s="41">
        <f t="shared" si="12"/>
        <v>227</v>
      </c>
      <c r="U33" s="74">
        <f>SUM(R33:T33)</f>
        <v>946</v>
      </c>
      <c r="V33" s="3"/>
      <c r="W33" s="3"/>
      <c r="X33" s="3"/>
      <c r="Y33" s="3"/>
      <c r="Z33" s="3"/>
      <c r="AA33" s="3"/>
      <c r="AB33" s="3"/>
      <c r="AC33" s="3"/>
    </row>
    <row r="34" spans="2:29" x14ac:dyDescent="0.2">
      <c r="B34" s="70" t="s">
        <v>21</v>
      </c>
      <c r="C34" s="38">
        <f t="shared" ref="C34:Q34" si="13">SUM(C44:C47)</f>
        <v>40</v>
      </c>
      <c r="D34" s="38">
        <f t="shared" si="13"/>
        <v>0</v>
      </c>
      <c r="E34" s="38">
        <f t="shared" si="13"/>
        <v>0</v>
      </c>
      <c r="F34" s="38">
        <f t="shared" si="13"/>
        <v>0</v>
      </c>
      <c r="G34" s="38">
        <f t="shared" si="13"/>
        <v>0</v>
      </c>
      <c r="H34" s="38">
        <f t="shared" si="13"/>
        <v>15</v>
      </c>
      <c r="I34" s="38">
        <f t="shared" si="13"/>
        <v>0</v>
      </c>
      <c r="J34" s="38">
        <f t="shared" si="13"/>
        <v>10</v>
      </c>
      <c r="K34" s="38">
        <f t="shared" si="13"/>
        <v>0</v>
      </c>
      <c r="L34" s="38">
        <f t="shared" si="13"/>
        <v>0</v>
      </c>
      <c r="M34" s="38">
        <f t="shared" si="13"/>
        <v>20</v>
      </c>
      <c r="N34" s="38">
        <f t="shared" si="13"/>
        <v>14</v>
      </c>
      <c r="O34" s="38">
        <f t="shared" si="13"/>
        <v>24</v>
      </c>
      <c r="P34" s="38">
        <f t="shared" si="13"/>
        <v>0</v>
      </c>
      <c r="Q34" s="38">
        <f t="shared" si="13"/>
        <v>0</v>
      </c>
      <c r="R34" s="39">
        <f t="shared" si="12"/>
        <v>40</v>
      </c>
      <c r="S34" s="40">
        <f t="shared" si="12"/>
        <v>49</v>
      </c>
      <c r="T34" s="41">
        <f t="shared" si="12"/>
        <v>34</v>
      </c>
      <c r="U34" s="74">
        <f>SUM(R34:T34)</f>
        <v>123</v>
      </c>
      <c r="V34" s="3"/>
      <c r="W34" s="312">
        <f>R34/R$33</f>
        <v>0.10498687664041995</v>
      </c>
      <c r="X34" s="312">
        <f t="shared" ref="X34:X35" si="14">S34/S$33</f>
        <v>0.14497041420118342</v>
      </c>
      <c r="Y34" s="312">
        <f t="shared" ref="Y34:Z35" si="15">T34/T$33</f>
        <v>0.14977973568281938</v>
      </c>
      <c r="Z34" s="312">
        <f t="shared" si="15"/>
        <v>0.13002114164904863</v>
      </c>
      <c r="AA34" s="3"/>
      <c r="AB34" s="3"/>
      <c r="AC34" s="3"/>
    </row>
    <row r="35" spans="2:29" x14ac:dyDescent="0.2">
      <c r="B35" s="70" t="s">
        <v>20</v>
      </c>
      <c r="C35" s="38">
        <f t="shared" ref="C35:Q35" si="16">C33-C34</f>
        <v>341</v>
      </c>
      <c r="D35" s="38">
        <f t="shared" si="16"/>
        <v>0</v>
      </c>
      <c r="E35" s="38">
        <f t="shared" si="16"/>
        <v>0</v>
      </c>
      <c r="F35" s="38">
        <f t="shared" si="16"/>
        <v>0</v>
      </c>
      <c r="G35" s="38">
        <f t="shared" si="16"/>
        <v>0</v>
      </c>
      <c r="H35" s="38">
        <f t="shared" si="16"/>
        <v>113</v>
      </c>
      <c r="I35" s="38">
        <f t="shared" si="16"/>
        <v>0</v>
      </c>
      <c r="J35" s="38">
        <f t="shared" si="16"/>
        <v>62</v>
      </c>
      <c r="K35" s="38">
        <f t="shared" si="16"/>
        <v>0</v>
      </c>
      <c r="L35" s="38">
        <f t="shared" si="16"/>
        <v>0</v>
      </c>
      <c r="M35" s="38">
        <f t="shared" si="16"/>
        <v>106</v>
      </c>
      <c r="N35" s="38">
        <f t="shared" si="16"/>
        <v>87</v>
      </c>
      <c r="O35" s="38">
        <f t="shared" si="16"/>
        <v>114</v>
      </c>
      <c r="P35" s="38">
        <f t="shared" si="16"/>
        <v>0</v>
      </c>
      <c r="Q35" s="38">
        <f t="shared" si="16"/>
        <v>0</v>
      </c>
      <c r="R35" s="39">
        <f t="shared" si="12"/>
        <v>341</v>
      </c>
      <c r="S35" s="40">
        <f t="shared" si="12"/>
        <v>289</v>
      </c>
      <c r="T35" s="41">
        <f t="shared" si="12"/>
        <v>193</v>
      </c>
      <c r="U35" s="74">
        <f>SUM(R35:T35)</f>
        <v>823</v>
      </c>
      <c r="V35" s="3"/>
      <c r="W35" s="312">
        <f t="shared" ref="W35" si="17">R35/R$33</f>
        <v>0.89501312335958005</v>
      </c>
      <c r="X35" s="312">
        <f t="shared" si="14"/>
        <v>0.8550295857988166</v>
      </c>
      <c r="Y35" s="312">
        <f t="shared" si="15"/>
        <v>0.85022026431718056</v>
      </c>
      <c r="Z35" s="312">
        <f t="shared" si="15"/>
        <v>0.86997885835095135</v>
      </c>
      <c r="AA35" s="3"/>
      <c r="AB35" s="3"/>
      <c r="AC35" s="3"/>
    </row>
    <row r="36" spans="2:29" x14ac:dyDescent="0.2">
      <c r="B36" s="75"/>
      <c r="C36" s="12"/>
      <c r="D36" s="12"/>
      <c r="E36" s="12"/>
      <c r="F36" s="12"/>
      <c r="G36" s="12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  <c r="S36" s="36"/>
      <c r="T36" s="37"/>
      <c r="U36" s="76"/>
      <c r="V36" s="3"/>
      <c r="W36" s="3"/>
      <c r="X36" s="3"/>
      <c r="Y36" s="3"/>
      <c r="Z36" s="3"/>
      <c r="AA36" s="3"/>
      <c r="AB36" s="3"/>
      <c r="AC36" s="3"/>
    </row>
    <row r="37" spans="2:29" x14ac:dyDescent="0.2">
      <c r="B37" s="77" t="s">
        <v>19</v>
      </c>
      <c r="C37" s="12"/>
      <c r="D37" s="12"/>
      <c r="E37" s="12"/>
      <c r="F37" s="12"/>
      <c r="G37" s="12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  <c r="S37" s="36"/>
      <c r="T37" s="37"/>
      <c r="U37" s="76"/>
      <c r="V37" s="3"/>
      <c r="W37" s="3"/>
      <c r="X37" s="3"/>
      <c r="Y37" s="3"/>
      <c r="Z37" s="3"/>
      <c r="AA37" s="3"/>
      <c r="AB37" s="3"/>
      <c r="AC37" s="3"/>
    </row>
    <row r="38" spans="2:29" x14ac:dyDescent="0.2">
      <c r="B38" s="70" t="s">
        <v>15</v>
      </c>
      <c r="C38" s="167">
        <v>129</v>
      </c>
      <c r="D38" s="167">
        <v>0</v>
      </c>
      <c r="E38" s="167">
        <v>0</v>
      </c>
      <c r="F38" s="167">
        <v>0</v>
      </c>
      <c r="G38" s="167">
        <v>0</v>
      </c>
      <c r="H38" s="167">
        <v>40</v>
      </c>
      <c r="I38" s="167">
        <v>0</v>
      </c>
      <c r="J38" s="167">
        <v>24</v>
      </c>
      <c r="K38" s="167">
        <v>0</v>
      </c>
      <c r="L38" s="167">
        <v>0</v>
      </c>
      <c r="M38" s="167">
        <v>34</v>
      </c>
      <c r="N38" s="167">
        <v>32</v>
      </c>
      <c r="O38" s="167">
        <v>48</v>
      </c>
      <c r="P38" s="167">
        <v>0</v>
      </c>
      <c r="Q38" s="167">
        <v>0</v>
      </c>
      <c r="R38" s="39">
        <f t="shared" ref="R38:T41" si="18">SUMIF($C$18:$Q$18,R$18,$C38:$Q38)</f>
        <v>129</v>
      </c>
      <c r="S38" s="40">
        <f t="shared" si="18"/>
        <v>112</v>
      </c>
      <c r="T38" s="41">
        <f t="shared" si="18"/>
        <v>66</v>
      </c>
      <c r="U38" s="74">
        <f>SUM(R38:T38)</f>
        <v>307</v>
      </c>
      <c r="V38" s="3"/>
      <c r="W38" s="3"/>
      <c r="X38" s="3"/>
      <c r="Y38" s="3"/>
      <c r="Z38" s="3"/>
      <c r="AA38" s="3"/>
      <c r="AB38" s="3"/>
      <c r="AC38" s="3"/>
    </row>
    <row r="39" spans="2:29" x14ac:dyDescent="0.2">
      <c r="B39" s="70" t="s">
        <v>14</v>
      </c>
      <c r="C39" s="167">
        <v>165</v>
      </c>
      <c r="D39" s="167">
        <v>0</v>
      </c>
      <c r="E39" s="167">
        <v>0</v>
      </c>
      <c r="F39" s="167">
        <v>0</v>
      </c>
      <c r="G39" s="167">
        <v>0</v>
      </c>
      <c r="H39" s="167">
        <v>64</v>
      </c>
      <c r="I39" s="167">
        <v>0</v>
      </c>
      <c r="J39" s="167">
        <v>36</v>
      </c>
      <c r="K39" s="167">
        <v>0</v>
      </c>
      <c r="L39" s="167">
        <v>0</v>
      </c>
      <c r="M39" s="167">
        <v>74</v>
      </c>
      <c r="N39" s="167">
        <v>51</v>
      </c>
      <c r="O39" s="167">
        <v>60</v>
      </c>
      <c r="P39" s="167">
        <v>0</v>
      </c>
      <c r="Q39" s="167">
        <v>0</v>
      </c>
      <c r="R39" s="39">
        <f t="shared" si="18"/>
        <v>165</v>
      </c>
      <c r="S39" s="40">
        <f t="shared" si="18"/>
        <v>160</v>
      </c>
      <c r="T39" s="41">
        <f t="shared" si="18"/>
        <v>125</v>
      </c>
      <c r="U39" s="74">
        <f>SUM(R39:T39)</f>
        <v>450</v>
      </c>
      <c r="V39" s="3"/>
      <c r="W39" s="3"/>
      <c r="X39" s="3"/>
      <c r="Y39" s="3"/>
      <c r="Z39" s="3"/>
      <c r="AA39" s="3"/>
      <c r="AB39" s="3"/>
      <c r="AC39" s="3"/>
    </row>
    <row r="40" spans="2:29" x14ac:dyDescent="0.2">
      <c r="B40" s="70" t="s">
        <v>13</v>
      </c>
      <c r="C40" s="167">
        <v>54</v>
      </c>
      <c r="D40" s="167">
        <v>0</v>
      </c>
      <c r="E40" s="167">
        <v>0</v>
      </c>
      <c r="F40" s="167">
        <v>0</v>
      </c>
      <c r="G40" s="167">
        <v>0</v>
      </c>
      <c r="H40" s="167">
        <v>12</v>
      </c>
      <c r="I40" s="167">
        <v>0</v>
      </c>
      <c r="J40" s="167">
        <v>8</v>
      </c>
      <c r="K40" s="167">
        <v>0</v>
      </c>
      <c r="L40" s="167">
        <v>0</v>
      </c>
      <c r="M40" s="167">
        <v>12</v>
      </c>
      <c r="N40" s="167">
        <v>12</v>
      </c>
      <c r="O40" s="167">
        <v>24</v>
      </c>
      <c r="P40" s="167">
        <v>0</v>
      </c>
      <c r="Q40" s="167">
        <v>0</v>
      </c>
      <c r="R40" s="39">
        <f t="shared" si="18"/>
        <v>54</v>
      </c>
      <c r="S40" s="40">
        <f t="shared" si="18"/>
        <v>44</v>
      </c>
      <c r="T40" s="41">
        <f t="shared" si="18"/>
        <v>24</v>
      </c>
      <c r="U40" s="74">
        <f>SUM(R40:T40)</f>
        <v>122</v>
      </c>
      <c r="V40" s="3"/>
      <c r="W40" s="3"/>
      <c r="X40" s="3"/>
      <c r="Y40" s="3"/>
      <c r="Z40" s="3"/>
      <c r="AA40" s="3"/>
      <c r="AB40" s="3"/>
      <c r="AC40" s="3"/>
    </row>
    <row r="41" spans="2:29" x14ac:dyDescent="0.2">
      <c r="B41" s="70" t="s">
        <v>12</v>
      </c>
      <c r="C41" s="167">
        <v>33</v>
      </c>
      <c r="D41" s="167">
        <v>0</v>
      </c>
      <c r="E41" s="167">
        <v>0</v>
      </c>
      <c r="F41" s="167">
        <v>0</v>
      </c>
      <c r="G41" s="167">
        <v>0</v>
      </c>
      <c r="H41" s="167">
        <v>12</v>
      </c>
      <c r="I41" s="167">
        <v>0</v>
      </c>
      <c r="J41" s="167">
        <v>4</v>
      </c>
      <c r="K41" s="167">
        <v>0</v>
      </c>
      <c r="L41" s="167">
        <v>0</v>
      </c>
      <c r="M41" s="167">
        <v>6</v>
      </c>
      <c r="N41" s="167">
        <v>6</v>
      </c>
      <c r="O41" s="167">
        <v>6</v>
      </c>
      <c r="P41" s="167">
        <v>0</v>
      </c>
      <c r="Q41" s="167">
        <v>0</v>
      </c>
      <c r="R41" s="39">
        <f t="shared" si="18"/>
        <v>33</v>
      </c>
      <c r="S41" s="40">
        <f t="shared" si="18"/>
        <v>22</v>
      </c>
      <c r="T41" s="41">
        <f t="shared" si="18"/>
        <v>12</v>
      </c>
      <c r="U41" s="74">
        <f>SUM(R41:T41)</f>
        <v>67</v>
      </c>
      <c r="V41" s="3"/>
      <c r="W41" s="3"/>
      <c r="X41" s="3"/>
      <c r="Y41" s="3"/>
      <c r="Z41" s="3"/>
      <c r="AA41" s="3"/>
      <c r="AB41" s="3"/>
      <c r="AC41" s="3"/>
    </row>
    <row r="42" spans="2:29" x14ac:dyDescent="0.2">
      <c r="B42" s="7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  <c r="S42" s="40"/>
      <c r="T42" s="41"/>
      <c r="U42" s="74"/>
      <c r="V42" s="3"/>
      <c r="W42" s="3"/>
      <c r="X42" s="3"/>
      <c r="Y42" s="3"/>
      <c r="Z42" s="3"/>
      <c r="AA42" s="3"/>
      <c r="AB42" s="3"/>
      <c r="AC42" s="3"/>
    </row>
    <row r="43" spans="2:29" x14ac:dyDescent="0.2">
      <c r="B43" s="78" t="s">
        <v>18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40"/>
      <c r="T43" s="41"/>
      <c r="U43" s="74"/>
      <c r="V43" s="3"/>
      <c r="W43" s="3"/>
      <c r="X43" s="3"/>
      <c r="Y43" s="3"/>
      <c r="Z43" s="3"/>
      <c r="AA43" s="3"/>
      <c r="AB43" s="3"/>
      <c r="AC43" s="3"/>
    </row>
    <row r="44" spans="2:29" x14ac:dyDescent="0.2">
      <c r="B44" s="70" t="s">
        <v>15</v>
      </c>
      <c r="C44" s="38">
        <f>ROUNDUP(ROUNDUP(IF(C32="Condominium",C33*'Assumptions-ResRental'!$O$16,C33*'Assumptions-ResRental'!$O$17),0)*'Assumptions-ResRental'!$O$21,0)</f>
        <v>8</v>
      </c>
      <c r="D44" s="38">
        <f>ROUNDUP(ROUNDUP(IF(D32="Condominium",D33*'Assumptions-ResRental'!$O$16,D33*'Assumptions-ResRental'!$O$17),0)*'Assumptions-ResRental'!$O$21,0)</f>
        <v>0</v>
      </c>
      <c r="E44" s="38">
        <f>ROUNDUP(ROUNDUP(IF(E32="Condominium",E33*'Assumptions-ResRental'!$O$16,E33*'Assumptions-ResRental'!$O$17),0)*'Assumptions-ResRental'!$O$21,0)</f>
        <v>0</v>
      </c>
      <c r="F44" s="38">
        <f>ROUNDUP(ROUNDUP(IF(F32="Condominium",F33*'Assumptions-ResRental'!$O$16,F33*'Assumptions-ResRental'!$O$17),0)*'Assumptions-ResRental'!$O$21,0)</f>
        <v>0</v>
      </c>
      <c r="G44" s="38">
        <f>ROUNDUP(ROUNDUP(IF(G32="Condominium",G33*'Assumptions-ResRental'!$O$16,G33*'Assumptions-ResRental'!$O$17),0)*'Assumptions-ResRental'!$O$21,0)</f>
        <v>0</v>
      </c>
      <c r="H44" s="38">
        <f>ROUNDUP(ROUNDUP(IF(H32="Condominium",H33*'Assumptions-ResRental'!$O$16,H33*'Assumptions-ResRental'!$O$17),0)*'Assumptions-ResRental'!$O$21,0)</f>
        <v>3</v>
      </c>
      <c r="I44" s="38">
        <f>ROUNDUP(ROUNDUP(IF(I32="Condominium",I33*'Assumptions-ResRental'!$O$16,I33*'Assumptions-ResRental'!$O$17),0)*'Assumptions-ResRental'!$O$21,0)</f>
        <v>0</v>
      </c>
      <c r="J44" s="38">
        <f>ROUNDUP(ROUNDUP(IF(J32="Condominium",J33*'Assumptions-ResRental'!$O$16,J33*'Assumptions-ResRental'!$O$17),0)*'Assumptions-ResRental'!$O$21,0)</f>
        <v>2</v>
      </c>
      <c r="K44" s="38">
        <f>ROUNDUP(ROUNDUP(IF(K32="Condominium",K33*'Assumptions-ResRental'!$O$16,K33*'Assumptions-ResRental'!$O$17),0)*'Assumptions-ResRental'!$O$21,0)</f>
        <v>0</v>
      </c>
      <c r="L44" s="38">
        <f>ROUNDUP(ROUNDUP(IF(L32="Condominium",L33*'Assumptions-ResRental'!$O$16,L33*'Assumptions-ResRental'!$O$17),0)*'Assumptions-ResRental'!$O$21,0)</f>
        <v>0</v>
      </c>
      <c r="M44" s="38">
        <f>ROUNDUP(ROUNDUP(IF(M32="Condominium",M33*'Assumptions-ResRental'!$O$16,M33*'Assumptions-ResRental'!$O$17),0)*'Assumptions-ResRental'!$O$21,0)</f>
        <v>4</v>
      </c>
      <c r="N44" s="38">
        <f>ROUNDUP(ROUNDUP(IF(N32="Condominium",N33*'Assumptions-ResRental'!$O$16,N33*'Assumptions-ResRental'!$O$17),0)*'Assumptions-ResRental'!$O$21,0)</f>
        <v>3</v>
      </c>
      <c r="O44" s="38">
        <f>ROUNDUP(ROUNDUP(IF(O32="Condominium",O33*'Assumptions-ResRental'!$O$16,O33*'Assumptions-ResRental'!$O$17),0)*'Assumptions-ResRental'!$O$21,0)</f>
        <v>5</v>
      </c>
      <c r="P44" s="38">
        <f>ROUNDUP(ROUNDUP(IF(P32="Condominium",P33*'Assumptions-ResRental'!$O$16,P33*'Assumptions-ResRental'!$O$17),0)*'Assumptions-ResRental'!$O$21,0)</f>
        <v>0</v>
      </c>
      <c r="Q44" s="38">
        <f>ROUNDUP(ROUNDUP(IF(Q32="Condominium",Q33*'Assumptions-ResRental'!$O$16,Q33*'Assumptions-ResRental'!$O$17),0)*'Assumptions-ResRental'!$O$21,0)</f>
        <v>0</v>
      </c>
      <c r="R44" s="39">
        <f t="shared" ref="R44:T47" si="19">SUMIF($C$18:$Q$18,R$18,$C44:$Q44)</f>
        <v>8</v>
      </c>
      <c r="S44" s="40">
        <f t="shared" si="19"/>
        <v>10</v>
      </c>
      <c r="T44" s="41">
        <f t="shared" si="19"/>
        <v>7</v>
      </c>
      <c r="U44" s="74">
        <f>SUM(R44:T44)</f>
        <v>25</v>
      </c>
      <c r="V44" s="3"/>
      <c r="W44" s="3"/>
      <c r="X44" s="3"/>
      <c r="Y44" s="3"/>
      <c r="Z44" s="3"/>
      <c r="AA44" s="3"/>
      <c r="AB44" s="3"/>
      <c r="AC44" s="3"/>
    </row>
    <row r="45" spans="2:29" x14ac:dyDescent="0.2">
      <c r="B45" s="70" t="s">
        <v>14</v>
      </c>
      <c r="C45" s="38">
        <f>ROUNDUP(ROUNDUP(IF(C32="Condominium",C33*'Assumptions-ResRental'!$O$16,C33*'Assumptions-ResRental'!$O$17),0)*'Assumptions-ResRental'!$O$22,0)</f>
        <v>12</v>
      </c>
      <c r="D45" s="38">
        <f>ROUNDUP(ROUNDUP(IF(D32="Condominium",D33*'Assumptions-ResRental'!$O$16,D33*'Assumptions-ResRental'!$O$17),0)*'Assumptions-ResRental'!$O$22,0)</f>
        <v>0</v>
      </c>
      <c r="E45" s="38">
        <f>ROUNDUP(ROUNDUP(IF(E32="Condominium",E33*'Assumptions-ResRental'!$O$16,E33*'Assumptions-ResRental'!$O$17),0)*'Assumptions-ResRental'!$O$22,0)</f>
        <v>0</v>
      </c>
      <c r="F45" s="38">
        <f>ROUNDUP(ROUNDUP(IF(F32="Condominium",F33*'Assumptions-ResRental'!$O$16,F33*'Assumptions-ResRental'!$O$17),0)*'Assumptions-ResRental'!$O$22,0)</f>
        <v>0</v>
      </c>
      <c r="G45" s="38">
        <f>ROUNDUP(ROUNDUP(IF(G32="Condominium",G33*'Assumptions-ResRental'!$O$16,G33*'Assumptions-ResRental'!$O$17),0)*'Assumptions-ResRental'!$O$22,0)</f>
        <v>0</v>
      </c>
      <c r="H45" s="38">
        <f>ROUNDUP(ROUNDUP(IF(H32="Condominium",H33*'Assumptions-ResRental'!$O$16,H33*'Assumptions-ResRental'!$O$17),0)*'Assumptions-ResRental'!$O$22,0)</f>
        <v>4</v>
      </c>
      <c r="I45" s="38">
        <f>ROUNDUP(ROUNDUP(IF(I32="Condominium",I33*'Assumptions-ResRental'!$O$16,I33*'Assumptions-ResRental'!$O$17),0)*'Assumptions-ResRental'!$O$22,0)</f>
        <v>0</v>
      </c>
      <c r="J45" s="38">
        <f>ROUNDUP(ROUNDUP(IF(J32="Condominium",J33*'Assumptions-ResRental'!$O$16,J33*'Assumptions-ResRental'!$O$17),0)*'Assumptions-ResRental'!$O$22,0)</f>
        <v>3</v>
      </c>
      <c r="K45" s="38">
        <f>ROUNDUP(ROUNDUP(IF(K32="Condominium",K33*'Assumptions-ResRental'!$O$16,K33*'Assumptions-ResRental'!$O$17),0)*'Assumptions-ResRental'!$O$22,0)</f>
        <v>0</v>
      </c>
      <c r="L45" s="38">
        <f>ROUNDUP(ROUNDUP(IF(L32="Condominium",L33*'Assumptions-ResRental'!$O$16,L33*'Assumptions-ResRental'!$O$17),0)*'Assumptions-ResRental'!$O$22,0)</f>
        <v>0</v>
      </c>
      <c r="M45" s="38">
        <f>ROUNDUP(ROUNDUP(IF(M32="Condominium",M33*'Assumptions-ResRental'!$O$16,M33*'Assumptions-ResRental'!$O$17),0)*'Assumptions-ResRental'!$O$22,0)</f>
        <v>6</v>
      </c>
      <c r="N45" s="38">
        <f>ROUNDUP(ROUNDUP(IF(N32="Condominium",N33*'Assumptions-ResRental'!$O$16,N33*'Assumptions-ResRental'!$O$17),0)*'Assumptions-ResRental'!$O$22,0)</f>
        <v>4</v>
      </c>
      <c r="O45" s="38">
        <f>ROUNDUP(ROUNDUP(IF(O32="Condominium",O33*'Assumptions-ResRental'!$O$16,O33*'Assumptions-ResRental'!$O$17),0)*'Assumptions-ResRental'!$O$22,0)</f>
        <v>7</v>
      </c>
      <c r="P45" s="38">
        <f>ROUNDUP(ROUNDUP(IF(P32="Condominium",P33*'Assumptions-ResRental'!$O$16,P33*'Assumptions-ResRental'!$O$17),0)*'Assumptions-ResRental'!$O$22,0)</f>
        <v>0</v>
      </c>
      <c r="Q45" s="38">
        <f>ROUNDUP(ROUNDUP(IF(Q32="Condominium",Q33*'Assumptions-ResRental'!$O$16,Q33*'Assumptions-ResRental'!$O$17),0)*'Assumptions-ResRental'!$O$22,0)</f>
        <v>0</v>
      </c>
      <c r="R45" s="39">
        <f t="shared" si="19"/>
        <v>12</v>
      </c>
      <c r="S45" s="40">
        <f t="shared" si="19"/>
        <v>14</v>
      </c>
      <c r="T45" s="41">
        <f t="shared" si="19"/>
        <v>10</v>
      </c>
      <c r="U45" s="74">
        <f>SUM(R45:T45)</f>
        <v>36</v>
      </c>
      <c r="V45" s="3"/>
      <c r="W45" s="3"/>
      <c r="X45" s="3"/>
      <c r="Y45" s="3"/>
      <c r="Z45" s="3"/>
      <c r="AA45" s="3"/>
      <c r="AB45" s="3"/>
      <c r="AC45" s="3"/>
    </row>
    <row r="46" spans="2:29" x14ac:dyDescent="0.2">
      <c r="B46" s="70" t="s">
        <v>13</v>
      </c>
      <c r="C46" s="38">
        <f>ROUNDUP(ROUNDUP(IF(C32="Condominium",C33*'Assumptions-ResRental'!$O$16,C33*'Assumptions-ResRental'!$O$17),0)*'Assumptions-ResRental'!$O$23,0)</f>
        <v>16</v>
      </c>
      <c r="D46" s="38">
        <f>ROUNDUP(ROUNDUP(IF(D32="Condominium",D33*'Assumptions-ResRental'!$O$16,D33*'Assumptions-ResRental'!$O$17),0)*'Assumptions-ResRental'!$O$23,0)</f>
        <v>0</v>
      </c>
      <c r="E46" s="38">
        <f>ROUNDUP(ROUNDUP(IF(E32="Condominium",E33*'Assumptions-ResRental'!$O$16,E33*'Assumptions-ResRental'!$O$17),0)*'Assumptions-ResRental'!$O$23,0)</f>
        <v>0</v>
      </c>
      <c r="F46" s="38">
        <f>ROUNDUP(ROUNDUP(IF(F32="Condominium",F33*'Assumptions-ResRental'!$O$16,F33*'Assumptions-ResRental'!$O$17),0)*'Assumptions-ResRental'!$O$23,0)</f>
        <v>0</v>
      </c>
      <c r="G46" s="38">
        <f>ROUNDUP(ROUNDUP(IF(G32="Condominium",G33*'Assumptions-ResRental'!$O$16,G33*'Assumptions-ResRental'!$O$17),0)*'Assumptions-ResRental'!$O$23,0)</f>
        <v>0</v>
      </c>
      <c r="H46" s="38">
        <f>ROUNDUP(ROUNDUP(IF(H32="Condominium",H33*'Assumptions-ResRental'!$O$16,H33*'Assumptions-ResRental'!$O$17),0)*'Assumptions-ResRental'!$O$23,0)</f>
        <v>6</v>
      </c>
      <c r="I46" s="38">
        <f>ROUNDUP(ROUNDUP(IF(I32="Condominium",I33*'Assumptions-ResRental'!$O$16,I33*'Assumptions-ResRental'!$O$17),0)*'Assumptions-ResRental'!$O$23,0)</f>
        <v>0</v>
      </c>
      <c r="J46" s="38">
        <f>ROUNDUP(ROUNDUP(IF(J32="Condominium",J33*'Assumptions-ResRental'!$O$16,J33*'Assumptions-ResRental'!$O$17),0)*'Assumptions-ResRental'!$O$23,0)</f>
        <v>4</v>
      </c>
      <c r="K46" s="38">
        <f>ROUNDUP(ROUNDUP(IF(K32="Condominium",K33*'Assumptions-ResRental'!$O$16,K33*'Assumptions-ResRental'!$O$17),0)*'Assumptions-ResRental'!$O$23,0)</f>
        <v>0</v>
      </c>
      <c r="L46" s="38">
        <f>ROUNDUP(ROUNDUP(IF(L32="Condominium",L33*'Assumptions-ResRental'!$O$16,L33*'Assumptions-ResRental'!$O$17),0)*'Assumptions-ResRental'!$O$23,0)</f>
        <v>0</v>
      </c>
      <c r="M46" s="38">
        <f>ROUNDUP(ROUNDUP(IF(M32="Condominium",M33*'Assumptions-ResRental'!$O$16,M33*'Assumptions-ResRental'!$O$17),0)*'Assumptions-ResRental'!$O$23,0)</f>
        <v>8</v>
      </c>
      <c r="N46" s="38">
        <f>ROUNDUP(ROUNDUP(IF(N32="Condominium",N33*'Assumptions-ResRental'!$O$16,N33*'Assumptions-ResRental'!$O$17),0)*'Assumptions-ResRental'!$O$23,0)</f>
        <v>5</v>
      </c>
      <c r="O46" s="38">
        <f>ROUNDUP(ROUNDUP(IF(O32="Condominium",O33*'Assumptions-ResRental'!$O$16,O33*'Assumptions-ResRental'!$O$17),0)*'Assumptions-ResRental'!$O$23,0)</f>
        <v>9</v>
      </c>
      <c r="P46" s="38">
        <f>ROUNDUP(ROUNDUP(IF(P32="Condominium",P33*'Assumptions-ResRental'!$O$16,P33*'Assumptions-ResRental'!$O$17),0)*'Assumptions-ResRental'!$O$23,0)</f>
        <v>0</v>
      </c>
      <c r="Q46" s="38">
        <f>ROUNDUP(ROUNDUP(IF(Q32="Condominium",Q33*'Assumptions-ResRental'!$O$16,Q33*'Assumptions-ResRental'!$O$17),0)*'Assumptions-ResRental'!$O$23,0)</f>
        <v>0</v>
      </c>
      <c r="R46" s="39">
        <f t="shared" si="19"/>
        <v>16</v>
      </c>
      <c r="S46" s="40">
        <f t="shared" si="19"/>
        <v>19</v>
      </c>
      <c r="T46" s="41">
        <f t="shared" si="19"/>
        <v>13</v>
      </c>
      <c r="U46" s="74">
        <f>SUM(R46:T46)</f>
        <v>48</v>
      </c>
      <c r="V46" s="3"/>
      <c r="W46" s="3"/>
      <c r="X46" s="3"/>
      <c r="Y46" s="3"/>
      <c r="Z46" s="3"/>
      <c r="AA46" s="3"/>
      <c r="AB46" s="3"/>
      <c r="AC46" s="3"/>
    </row>
    <row r="47" spans="2:29" x14ac:dyDescent="0.2">
      <c r="B47" s="70" t="s">
        <v>12</v>
      </c>
      <c r="C47" s="38">
        <f>ROUNDUP(ROUNDUP(IF(C32="Condominium",C33*'Assumptions-ResRental'!$O$16,C33*'Assumptions-ResRental'!$O$17),0)*'Assumptions-ResRental'!$O$24,0)</f>
        <v>4</v>
      </c>
      <c r="D47" s="38">
        <f>ROUNDUP(ROUNDUP(IF(D32="Condominium",D33*'Assumptions-ResRental'!$O$16,D33*'Assumptions-ResRental'!$O$17),0)*'Assumptions-ResRental'!$O$24,0)</f>
        <v>0</v>
      </c>
      <c r="E47" s="38">
        <f>ROUNDUP(ROUNDUP(IF(E32="Condominium",E33*'Assumptions-ResRental'!$O$16,E33*'Assumptions-ResRental'!$O$17),0)*'Assumptions-ResRental'!$O$24,0)</f>
        <v>0</v>
      </c>
      <c r="F47" s="38">
        <f>ROUNDUP(ROUNDUP(IF(F32="Condominium",F33*'Assumptions-ResRental'!$O$16,F33*'Assumptions-ResRental'!$O$17),0)*'Assumptions-ResRental'!$O$24,0)</f>
        <v>0</v>
      </c>
      <c r="G47" s="38">
        <f>ROUNDUP(ROUNDUP(IF(G32="Condominium",G33*'Assumptions-ResRental'!$O$16,G33*'Assumptions-ResRental'!$O$17),0)*'Assumptions-ResRental'!$O$24,0)</f>
        <v>0</v>
      </c>
      <c r="H47" s="38">
        <f>ROUNDUP(ROUNDUP(IF(H32="Condominium",H33*'Assumptions-ResRental'!$O$16,H33*'Assumptions-ResRental'!$O$17),0)*'Assumptions-ResRental'!$O$24,0)</f>
        <v>2</v>
      </c>
      <c r="I47" s="38">
        <f>ROUNDUP(ROUNDUP(IF(I32="Condominium",I33*'Assumptions-ResRental'!$O$16,I33*'Assumptions-ResRental'!$O$17),0)*'Assumptions-ResRental'!$O$24,0)</f>
        <v>0</v>
      </c>
      <c r="J47" s="38">
        <f>ROUNDUP(ROUNDUP(IF(J32="Condominium",J33*'Assumptions-ResRental'!$O$16,J33*'Assumptions-ResRental'!$O$17),0)*'Assumptions-ResRental'!$O$24,0)</f>
        <v>1</v>
      </c>
      <c r="K47" s="38">
        <f>ROUNDUP(ROUNDUP(IF(K32="Condominium",K33*'Assumptions-ResRental'!$O$16,K33*'Assumptions-ResRental'!$O$17),0)*'Assumptions-ResRental'!$O$24,0)</f>
        <v>0</v>
      </c>
      <c r="L47" s="38">
        <f>ROUNDUP(ROUNDUP(IF(L32="Condominium",L33*'Assumptions-ResRental'!$O$16,L33*'Assumptions-ResRental'!$O$17),0)*'Assumptions-ResRental'!$O$24,0)</f>
        <v>0</v>
      </c>
      <c r="M47" s="38">
        <f>ROUNDUP(ROUNDUP(IF(M32="Condominium",M33*'Assumptions-ResRental'!$O$16,M33*'Assumptions-ResRental'!$O$17),0)*'Assumptions-ResRental'!$O$24,0)</f>
        <v>2</v>
      </c>
      <c r="N47" s="38">
        <f>ROUNDUP(ROUNDUP(IF(N32="Condominium",N33*'Assumptions-ResRental'!$O$16,N33*'Assumptions-ResRental'!$O$17),0)*'Assumptions-ResRental'!$O$24,0)</f>
        <v>2</v>
      </c>
      <c r="O47" s="38">
        <f>ROUNDUP(ROUNDUP(IF(O32="Condominium",O33*'Assumptions-ResRental'!$O$16,O33*'Assumptions-ResRental'!$O$17),0)*'Assumptions-ResRental'!$O$24,0)</f>
        <v>3</v>
      </c>
      <c r="P47" s="38">
        <f>ROUNDUP(ROUNDUP(IF(P32="Condominium",P33*'Assumptions-ResRental'!$O$16,P33*'Assumptions-ResRental'!$O$17),0)*'Assumptions-ResRental'!$O$24,0)</f>
        <v>0</v>
      </c>
      <c r="Q47" s="38">
        <f>ROUNDUP(ROUNDUP(IF(Q32="Condominium",Q33*'Assumptions-ResRental'!$O$16,Q33*'Assumptions-ResRental'!$O$17),0)*'Assumptions-ResRental'!$O$24,0)</f>
        <v>0</v>
      </c>
      <c r="R47" s="39">
        <f t="shared" si="19"/>
        <v>4</v>
      </c>
      <c r="S47" s="40">
        <f t="shared" si="19"/>
        <v>6</v>
      </c>
      <c r="T47" s="41">
        <f t="shared" si="19"/>
        <v>4</v>
      </c>
      <c r="U47" s="74">
        <f>SUM(R47:T47)</f>
        <v>14</v>
      </c>
      <c r="V47" s="3"/>
      <c r="W47" s="3"/>
      <c r="X47" s="3"/>
      <c r="Y47" s="3"/>
      <c r="Z47" s="3"/>
      <c r="AA47" s="3"/>
      <c r="AB47" s="3"/>
      <c r="AC47" s="3"/>
    </row>
    <row r="48" spans="2:29" x14ac:dyDescent="0.2">
      <c r="B48" s="7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  <c r="S48" s="40"/>
      <c r="T48" s="41"/>
      <c r="U48" s="74"/>
      <c r="V48" s="3"/>
      <c r="W48" s="3"/>
      <c r="X48" s="3"/>
      <c r="Y48" s="3"/>
      <c r="Z48" s="3"/>
      <c r="AA48" s="3"/>
      <c r="AB48" s="3"/>
      <c r="AC48" s="3"/>
    </row>
    <row r="49" spans="2:29" x14ac:dyDescent="0.2">
      <c r="B49" s="78" t="s">
        <v>17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9"/>
      <c r="S49" s="40"/>
      <c r="T49" s="41"/>
      <c r="U49" s="74"/>
      <c r="V49" s="3"/>
      <c r="W49" s="3"/>
      <c r="X49" s="3"/>
      <c r="Y49" s="3"/>
      <c r="Z49" s="3"/>
      <c r="AA49" s="3"/>
      <c r="AB49" s="3"/>
      <c r="AC49" s="3"/>
    </row>
    <row r="50" spans="2:29" x14ac:dyDescent="0.2">
      <c r="B50" s="70" t="s">
        <v>15</v>
      </c>
      <c r="C50" s="38">
        <f t="shared" ref="C50:Q50" si="20">C38-C44</f>
        <v>121</v>
      </c>
      <c r="D50" s="38">
        <f t="shared" si="20"/>
        <v>0</v>
      </c>
      <c r="E50" s="38">
        <f t="shared" si="20"/>
        <v>0</v>
      </c>
      <c r="F50" s="38">
        <f t="shared" si="20"/>
        <v>0</v>
      </c>
      <c r="G50" s="38">
        <f t="shared" si="20"/>
        <v>0</v>
      </c>
      <c r="H50" s="38">
        <f t="shared" si="20"/>
        <v>37</v>
      </c>
      <c r="I50" s="38">
        <f t="shared" si="20"/>
        <v>0</v>
      </c>
      <c r="J50" s="38">
        <f t="shared" si="20"/>
        <v>22</v>
      </c>
      <c r="K50" s="38">
        <f t="shared" si="20"/>
        <v>0</v>
      </c>
      <c r="L50" s="38">
        <f t="shared" si="20"/>
        <v>0</v>
      </c>
      <c r="M50" s="38">
        <f t="shared" si="20"/>
        <v>30</v>
      </c>
      <c r="N50" s="38">
        <f t="shared" si="20"/>
        <v>29</v>
      </c>
      <c r="O50" s="38">
        <f t="shared" si="20"/>
        <v>43</v>
      </c>
      <c r="P50" s="38">
        <f t="shared" si="20"/>
        <v>0</v>
      </c>
      <c r="Q50" s="38">
        <f t="shared" si="20"/>
        <v>0</v>
      </c>
      <c r="R50" s="39">
        <f t="shared" ref="R50:T53" si="21">SUMIF($C$18:$Q$18,R$18,$C50:$Q50)</f>
        <v>121</v>
      </c>
      <c r="S50" s="40">
        <f t="shared" si="21"/>
        <v>102</v>
      </c>
      <c r="T50" s="41">
        <f t="shared" si="21"/>
        <v>59</v>
      </c>
      <c r="U50" s="74">
        <f>SUM(R50:T50)</f>
        <v>282</v>
      </c>
      <c r="V50" s="3"/>
      <c r="W50" s="3"/>
      <c r="X50" s="3"/>
      <c r="Y50" s="3"/>
      <c r="Z50" s="3"/>
      <c r="AA50" s="3"/>
      <c r="AB50" s="3"/>
      <c r="AC50" s="3"/>
    </row>
    <row r="51" spans="2:29" x14ac:dyDescent="0.2">
      <c r="B51" s="70" t="s">
        <v>14</v>
      </c>
      <c r="C51" s="38">
        <f t="shared" ref="C51:Q51" si="22">C39-C45</f>
        <v>153</v>
      </c>
      <c r="D51" s="38">
        <f t="shared" si="22"/>
        <v>0</v>
      </c>
      <c r="E51" s="38">
        <f t="shared" si="22"/>
        <v>0</v>
      </c>
      <c r="F51" s="38">
        <f t="shared" si="22"/>
        <v>0</v>
      </c>
      <c r="G51" s="38">
        <f t="shared" si="22"/>
        <v>0</v>
      </c>
      <c r="H51" s="38">
        <f t="shared" si="22"/>
        <v>60</v>
      </c>
      <c r="I51" s="38">
        <f t="shared" si="22"/>
        <v>0</v>
      </c>
      <c r="J51" s="38">
        <f t="shared" si="22"/>
        <v>33</v>
      </c>
      <c r="K51" s="38">
        <f t="shared" si="22"/>
        <v>0</v>
      </c>
      <c r="L51" s="38">
        <f t="shared" si="22"/>
        <v>0</v>
      </c>
      <c r="M51" s="38">
        <f t="shared" si="22"/>
        <v>68</v>
      </c>
      <c r="N51" s="38">
        <f t="shared" si="22"/>
        <v>47</v>
      </c>
      <c r="O51" s="38">
        <f t="shared" si="22"/>
        <v>53</v>
      </c>
      <c r="P51" s="38">
        <f t="shared" si="22"/>
        <v>0</v>
      </c>
      <c r="Q51" s="38">
        <f t="shared" si="22"/>
        <v>0</v>
      </c>
      <c r="R51" s="39">
        <f t="shared" si="21"/>
        <v>153</v>
      </c>
      <c r="S51" s="40">
        <f t="shared" si="21"/>
        <v>146</v>
      </c>
      <c r="T51" s="41">
        <f t="shared" si="21"/>
        <v>115</v>
      </c>
      <c r="U51" s="74">
        <f>SUM(R51:T51)</f>
        <v>414</v>
      </c>
      <c r="V51" s="3"/>
      <c r="W51" s="3"/>
      <c r="X51" s="3"/>
      <c r="Y51" s="3"/>
      <c r="Z51" s="3"/>
      <c r="AA51" s="3"/>
      <c r="AB51" s="3"/>
      <c r="AC51" s="3"/>
    </row>
    <row r="52" spans="2:29" x14ac:dyDescent="0.2">
      <c r="B52" s="70" t="s">
        <v>13</v>
      </c>
      <c r="C52" s="38">
        <f t="shared" ref="C52:Q52" si="23">C40-C46</f>
        <v>38</v>
      </c>
      <c r="D52" s="38">
        <f t="shared" si="23"/>
        <v>0</v>
      </c>
      <c r="E52" s="38">
        <f t="shared" si="23"/>
        <v>0</v>
      </c>
      <c r="F52" s="38">
        <f t="shared" si="23"/>
        <v>0</v>
      </c>
      <c r="G52" s="38">
        <f t="shared" si="23"/>
        <v>0</v>
      </c>
      <c r="H52" s="38">
        <f t="shared" si="23"/>
        <v>6</v>
      </c>
      <c r="I52" s="38">
        <f t="shared" si="23"/>
        <v>0</v>
      </c>
      <c r="J52" s="38">
        <f t="shared" si="23"/>
        <v>4</v>
      </c>
      <c r="K52" s="38">
        <f t="shared" si="23"/>
        <v>0</v>
      </c>
      <c r="L52" s="38">
        <f t="shared" si="23"/>
        <v>0</v>
      </c>
      <c r="M52" s="38">
        <f t="shared" si="23"/>
        <v>4</v>
      </c>
      <c r="N52" s="38">
        <f t="shared" si="23"/>
        <v>7</v>
      </c>
      <c r="O52" s="38">
        <f t="shared" si="23"/>
        <v>15</v>
      </c>
      <c r="P52" s="38">
        <f t="shared" si="23"/>
        <v>0</v>
      </c>
      <c r="Q52" s="38">
        <f t="shared" si="23"/>
        <v>0</v>
      </c>
      <c r="R52" s="39">
        <f t="shared" si="21"/>
        <v>38</v>
      </c>
      <c r="S52" s="40">
        <f t="shared" si="21"/>
        <v>25</v>
      </c>
      <c r="T52" s="41">
        <f t="shared" si="21"/>
        <v>11</v>
      </c>
      <c r="U52" s="74">
        <f>SUM(R52:T52)</f>
        <v>74</v>
      </c>
      <c r="V52" s="3"/>
      <c r="W52" s="3"/>
      <c r="X52" s="3"/>
      <c r="Y52" s="3"/>
      <c r="Z52" s="3"/>
      <c r="AA52" s="3"/>
      <c r="AB52" s="3"/>
      <c r="AC52" s="3"/>
    </row>
    <row r="53" spans="2:29" x14ac:dyDescent="0.2">
      <c r="B53" s="70" t="s">
        <v>12</v>
      </c>
      <c r="C53" s="38">
        <f t="shared" ref="C53:Q53" si="24">C41-C47</f>
        <v>29</v>
      </c>
      <c r="D53" s="38">
        <f t="shared" si="24"/>
        <v>0</v>
      </c>
      <c r="E53" s="38">
        <f t="shared" si="24"/>
        <v>0</v>
      </c>
      <c r="F53" s="38">
        <f t="shared" si="24"/>
        <v>0</v>
      </c>
      <c r="G53" s="38">
        <f t="shared" si="24"/>
        <v>0</v>
      </c>
      <c r="H53" s="38">
        <f t="shared" si="24"/>
        <v>10</v>
      </c>
      <c r="I53" s="38">
        <f t="shared" si="24"/>
        <v>0</v>
      </c>
      <c r="J53" s="38">
        <f t="shared" si="24"/>
        <v>3</v>
      </c>
      <c r="K53" s="38">
        <f t="shared" si="24"/>
        <v>0</v>
      </c>
      <c r="L53" s="38">
        <f t="shared" si="24"/>
        <v>0</v>
      </c>
      <c r="M53" s="38">
        <f t="shared" si="24"/>
        <v>4</v>
      </c>
      <c r="N53" s="38">
        <f t="shared" si="24"/>
        <v>4</v>
      </c>
      <c r="O53" s="38">
        <f t="shared" si="24"/>
        <v>3</v>
      </c>
      <c r="P53" s="38">
        <f t="shared" si="24"/>
        <v>0</v>
      </c>
      <c r="Q53" s="38">
        <f t="shared" si="24"/>
        <v>0</v>
      </c>
      <c r="R53" s="39">
        <f t="shared" si="21"/>
        <v>29</v>
      </c>
      <c r="S53" s="40">
        <f t="shared" si="21"/>
        <v>16</v>
      </c>
      <c r="T53" s="41">
        <f t="shared" si="21"/>
        <v>8</v>
      </c>
      <c r="U53" s="74">
        <f>SUM(R53:T53)</f>
        <v>53</v>
      </c>
      <c r="V53" s="3"/>
      <c r="W53" s="3"/>
      <c r="X53" s="3"/>
      <c r="Y53" s="3"/>
      <c r="Z53" s="3"/>
      <c r="AA53" s="3"/>
      <c r="AB53" s="3"/>
      <c r="AC53" s="3"/>
    </row>
    <row r="54" spans="2:29" x14ac:dyDescent="0.2">
      <c r="B54" s="7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9"/>
      <c r="S54" s="40"/>
      <c r="T54" s="41"/>
      <c r="U54" s="74"/>
      <c r="V54" s="3"/>
      <c r="W54" s="3"/>
      <c r="X54" s="3"/>
      <c r="Y54" s="3"/>
      <c r="Z54" s="3"/>
      <c r="AA54" s="3"/>
      <c r="AB54" s="3"/>
      <c r="AC54" s="3"/>
    </row>
    <row r="55" spans="2:29" x14ac:dyDescent="0.2">
      <c r="B55" s="78" t="s">
        <v>16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9"/>
      <c r="S55" s="40"/>
      <c r="T55" s="41"/>
      <c r="U55" s="74"/>
      <c r="V55" s="3"/>
      <c r="W55" s="3"/>
      <c r="X55" s="3"/>
      <c r="Y55" s="3"/>
      <c r="Z55" s="3"/>
      <c r="AA55" s="3"/>
      <c r="AB55" s="3"/>
      <c r="AC55" s="3"/>
    </row>
    <row r="56" spans="2:29" x14ac:dyDescent="0.2">
      <c r="B56" s="70" t="s">
        <v>15</v>
      </c>
      <c r="C56" s="167">
        <v>538.20000000000005</v>
      </c>
      <c r="D56" s="167" t="s">
        <v>11</v>
      </c>
      <c r="E56" s="167" t="s">
        <v>11</v>
      </c>
      <c r="F56" s="167" t="s">
        <v>11</v>
      </c>
      <c r="G56" s="167" t="s">
        <v>11</v>
      </c>
      <c r="H56" s="167">
        <v>430.55599999999998</v>
      </c>
      <c r="I56" s="167" t="s">
        <v>11</v>
      </c>
      <c r="J56" s="167">
        <v>484.37549999999999</v>
      </c>
      <c r="K56" s="167" t="s">
        <v>11</v>
      </c>
      <c r="L56" s="167" t="s">
        <v>11</v>
      </c>
      <c r="M56" s="167">
        <v>484.37549999999999</v>
      </c>
      <c r="N56" s="167">
        <v>484.37549999999999</v>
      </c>
      <c r="O56" s="167">
        <v>484.37549999999999</v>
      </c>
      <c r="P56" s="167" t="s">
        <v>11</v>
      </c>
      <c r="Q56" s="167" t="s">
        <v>11</v>
      </c>
      <c r="R56" s="39"/>
      <c r="S56" s="40"/>
      <c r="T56" s="41"/>
      <c r="U56" s="79">
        <f>SUMPRODUCT(C56:Q56,C38:Q38)/U38</f>
        <v>499.97999674267112</v>
      </c>
      <c r="V56" s="3"/>
      <c r="W56" s="3"/>
      <c r="X56" s="3"/>
      <c r="Y56" s="3"/>
      <c r="Z56" s="3"/>
      <c r="AA56" s="3"/>
      <c r="AB56" s="3"/>
      <c r="AC56" s="3"/>
    </row>
    <row r="57" spans="2:29" x14ac:dyDescent="0.2">
      <c r="B57" s="70" t="s">
        <v>14</v>
      </c>
      <c r="C57" s="167">
        <v>807.29</v>
      </c>
      <c r="D57" s="167" t="s">
        <v>11</v>
      </c>
      <c r="E57" s="167" t="s">
        <v>11</v>
      </c>
      <c r="F57" s="167" t="s">
        <v>11</v>
      </c>
      <c r="G57" s="167" t="s">
        <v>11</v>
      </c>
      <c r="H57" s="167">
        <v>659.28890000000001</v>
      </c>
      <c r="I57" s="167" t="s">
        <v>11</v>
      </c>
      <c r="J57" s="167">
        <v>699.65350000000001</v>
      </c>
      <c r="K57" s="167" t="s">
        <v>11</v>
      </c>
      <c r="L57" s="167" t="s">
        <v>11</v>
      </c>
      <c r="M57" s="167">
        <v>699.65350000000001</v>
      </c>
      <c r="N57" s="167">
        <v>769.30226470588241</v>
      </c>
      <c r="O57" s="167">
        <v>807.29250000000002</v>
      </c>
      <c r="P57" s="167" t="s">
        <v>11</v>
      </c>
      <c r="Q57" s="167" t="s">
        <v>11</v>
      </c>
      <c r="R57" s="39"/>
      <c r="S57" s="40"/>
      <c r="T57" s="41"/>
      <c r="U57" s="79">
        <f>SUMPRODUCT(C57:Q57,C39:Q39)/U39</f>
        <v>755.62486688888896</v>
      </c>
      <c r="V57" s="3"/>
      <c r="W57" s="3"/>
      <c r="X57" s="3"/>
      <c r="Y57" s="3"/>
      <c r="Z57" s="3"/>
      <c r="AA57" s="3"/>
      <c r="AB57" s="3"/>
      <c r="AC57" s="3"/>
    </row>
    <row r="58" spans="2:29" x14ac:dyDescent="0.2">
      <c r="B58" s="70" t="s">
        <v>13</v>
      </c>
      <c r="C58" s="167">
        <v>968.75</v>
      </c>
      <c r="D58" s="167" t="s">
        <v>11</v>
      </c>
      <c r="E58" s="167" t="s">
        <v>11</v>
      </c>
      <c r="F58" s="167" t="s">
        <v>11</v>
      </c>
      <c r="G58" s="167" t="s">
        <v>11</v>
      </c>
      <c r="H58" s="167">
        <v>896.99170000000004</v>
      </c>
      <c r="I58" s="167" t="s">
        <v>11</v>
      </c>
      <c r="J58" s="167">
        <v>861.11199999999997</v>
      </c>
      <c r="K58" s="167" t="s">
        <v>11</v>
      </c>
      <c r="L58" s="167" t="s">
        <v>11</v>
      </c>
      <c r="M58" s="167">
        <v>914.93150000000003</v>
      </c>
      <c r="N58" s="167">
        <v>986.69083333333322</v>
      </c>
      <c r="O58" s="167">
        <v>1022.5704999999999</v>
      </c>
      <c r="P58" s="167" t="s">
        <v>11</v>
      </c>
      <c r="Q58" s="167" t="s">
        <v>11</v>
      </c>
      <c r="R58" s="39"/>
      <c r="S58" s="40"/>
      <c r="T58" s="41"/>
      <c r="U58" s="79">
        <f>SUMPRODUCT(C58:Q58,C40:Q40)/U40</f>
        <v>961.69226557377033</v>
      </c>
      <c r="V58" s="3"/>
      <c r="W58" s="3"/>
      <c r="X58" s="3"/>
      <c r="Y58" s="3"/>
      <c r="Z58" s="3"/>
      <c r="AA58" s="3"/>
      <c r="AB58" s="3"/>
      <c r="AC58" s="3"/>
    </row>
    <row r="59" spans="2:29" ht="14.25" x14ac:dyDescent="0.35">
      <c r="B59" s="70" t="s">
        <v>12</v>
      </c>
      <c r="C59" s="168">
        <v>1184.03</v>
      </c>
      <c r="D59" s="168" t="s">
        <v>11</v>
      </c>
      <c r="E59" s="168" t="s">
        <v>11</v>
      </c>
      <c r="F59" s="168" t="s">
        <v>11</v>
      </c>
      <c r="G59" s="168" t="s">
        <v>11</v>
      </c>
      <c r="H59" s="168">
        <v>1094.33</v>
      </c>
      <c r="I59" s="168" t="s">
        <v>11</v>
      </c>
      <c r="J59" s="168">
        <v>1076.3900000000001</v>
      </c>
      <c r="K59" s="168" t="s">
        <v>11</v>
      </c>
      <c r="L59" s="168" t="s">
        <v>11</v>
      </c>
      <c r="M59" s="168">
        <v>1049.48</v>
      </c>
      <c r="N59" s="168">
        <v>1166.0891666666666</v>
      </c>
      <c r="O59" s="168">
        <v>1237.8485000000001</v>
      </c>
      <c r="P59" s="168" t="s">
        <v>11</v>
      </c>
      <c r="Q59" s="168" t="s">
        <v>11</v>
      </c>
      <c r="R59" s="42"/>
      <c r="S59" s="43"/>
      <c r="T59" s="44"/>
      <c r="U59" s="80">
        <f>SUMPRODUCT(C59:Q59,C41:Q41)/U41</f>
        <v>1152.7017313432834</v>
      </c>
      <c r="V59" s="3"/>
      <c r="W59" s="3"/>
      <c r="X59" s="3"/>
      <c r="Y59" s="3"/>
      <c r="Z59" s="3"/>
      <c r="AA59" s="3"/>
      <c r="AB59" s="3"/>
      <c r="AC59" s="3"/>
    </row>
    <row r="60" spans="2:29" x14ac:dyDescent="0.2">
      <c r="B60" s="81" t="s">
        <v>10</v>
      </c>
      <c r="C60" s="133">
        <f t="shared" ref="C60:Q60" si="25">IFERROR(C20/C33,0)</f>
        <v>771.69590551181102</v>
      </c>
      <c r="D60" s="133">
        <f t="shared" si="25"/>
        <v>0</v>
      </c>
      <c r="E60" s="133">
        <f t="shared" si="25"/>
        <v>0</v>
      </c>
      <c r="F60" s="133">
        <f t="shared" si="25"/>
        <v>0</v>
      </c>
      <c r="G60" s="133">
        <f t="shared" si="25"/>
        <v>0</v>
      </c>
      <c r="H60" s="133">
        <f t="shared" si="25"/>
        <v>650.87960937499997</v>
      </c>
      <c r="I60" s="133">
        <f t="shared" si="25"/>
        <v>0</v>
      </c>
      <c r="J60" s="133">
        <f t="shared" si="25"/>
        <v>666.76380555555556</v>
      </c>
      <c r="K60" s="133">
        <f t="shared" si="25"/>
        <v>0</v>
      </c>
      <c r="L60" s="133">
        <f t="shared" si="25"/>
        <v>0</v>
      </c>
      <c r="M60" s="133">
        <f t="shared" si="25"/>
        <v>678.72368253968261</v>
      </c>
      <c r="N60" s="133">
        <f t="shared" si="25"/>
        <v>728.42828217821784</v>
      </c>
      <c r="O60" s="133">
        <f t="shared" si="25"/>
        <v>751.1330217391303</v>
      </c>
      <c r="P60" s="133">
        <f t="shared" si="25"/>
        <v>0</v>
      </c>
      <c r="Q60" s="133">
        <f t="shared" si="25"/>
        <v>0</v>
      </c>
      <c r="R60" s="134"/>
      <c r="S60" s="135"/>
      <c r="T60" s="136"/>
      <c r="U60" s="137">
        <f>U20/U33</f>
        <v>727.35995930232559</v>
      </c>
      <c r="V60" s="3"/>
      <c r="W60" s="3"/>
      <c r="X60" s="3"/>
      <c r="Y60" s="3"/>
      <c r="Z60" s="3"/>
      <c r="AA60" s="3"/>
      <c r="AB60" s="3"/>
      <c r="AC60" s="3"/>
    </row>
    <row r="61" spans="2:29" ht="12.75" thickBot="1" x14ac:dyDescent="0.25">
      <c r="B61" s="132" t="s">
        <v>139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250</v>
      </c>
      <c r="M61" s="169">
        <v>0</v>
      </c>
      <c r="N61" s="169">
        <v>0</v>
      </c>
      <c r="O61" s="169">
        <v>0</v>
      </c>
      <c r="P61" s="169">
        <v>402</v>
      </c>
      <c r="Q61" s="169">
        <v>0</v>
      </c>
      <c r="R61" s="139">
        <f t="shared" ref="R61:T61" si="26">SUMIF($C$18:$Q$18,R$18,$C61:$Q61)</f>
        <v>0</v>
      </c>
      <c r="S61" s="140">
        <f t="shared" si="26"/>
        <v>0</v>
      </c>
      <c r="T61" s="141">
        <f t="shared" si="26"/>
        <v>652</v>
      </c>
      <c r="U61" s="159">
        <f>SUM(R61:T61)</f>
        <v>652</v>
      </c>
      <c r="V61" s="3"/>
      <c r="W61" s="3"/>
      <c r="X61" s="3"/>
      <c r="Y61" s="3"/>
      <c r="Z61" s="3"/>
      <c r="AA61" s="3"/>
      <c r="AB61" s="3"/>
      <c r="AC61" s="3"/>
    </row>
    <row r="64" spans="2:29" x14ac:dyDescent="0.2">
      <c r="P64" s="138"/>
    </row>
  </sheetData>
  <mergeCells count="2">
    <mergeCell ref="B2:C2"/>
    <mergeCell ref="B6:D6"/>
  </mergeCells>
  <conditionalFormatting sqref="C44:Q49">
    <cfRule type="expression" dxfId="1" priority="2">
      <formula>C44&gt;#REF!</formula>
    </cfRule>
  </conditionalFormatting>
  <conditionalFormatting sqref="C54:Q55">
    <cfRule type="expression" dxfId="0" priority="1">
      <formula>C54&gt;#REF!</formula>
    </cfRule>
  </conditionalFormatting>
  <pageMargins left="0.7" right="0.7" top="0.75" bottom="0.75" header="0.3" footer="0.3"/>
  <pageSetup orientation="portrait" r:id="rId1"/>
  <ignoredErrors>
    <ignoredError sqref="F22 U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E1AC-71F7-4E2E-8EEB-A46A72CE170F}">
  <sheetPr>
    <tabColor theme="8" tint="0.39997558519241921"/>
  </sheetPr>
  <dimension ref="B1:Y53"/>
  <sheetViews>
    <sheetView workbookViewId="0">
      <selection activeCell="O6" sqref="O6:R33"/>
    </sheetView>
    <sheetView workbookViewId="1"/>
  </sheetViews>
  <sheetFormatPr defaultRowHeight="12" x14ac:dyDescent="0.2"/>
  <cols>
    <col min="1" max="1" width="2.85546875" style="1" customWidth="1"/>
    <col min="2" max="2" width="18.42578125" style="1" bestFit="1" customWidth="1"/>
    <col min="3" max="5" width="9.28515625" style="1" customWidth="1"/>
    <col min="6" max="6" width="2.85546875" style="1" customWidth="1"/>
    <col min="7" max="7" width="31.5703125" style="1" bestFit="1" customWidth="1"/>
    <col min="8" max="9" width="9.5703125" style="1" bestFit="1" customWidth="1"/>
    <col min="10" max="10" width="16" style="1" bestFit="1" customWidth="1"/>
    <col min="11" max="12" width="12.140625" style="1" customWidth="1"/>
    <col min="13" max="13" width="9.140625" style="1"/>
    <col min="14" max="14" width="2.85546875" style="1" customWidth="1"/>
    <col min="15" max="15" width="25" style="1" bestFit="1" customWidth="1"/>
    <col min="16" max="16" width="6.140625" style="1" bestFit="1" customWidth="1"/>
    <col min="17" max="17" width="25" style="1" bestFit="1" customWidth="1"/>
    <col min="18" max="18" width="6.140625" style="1" customWidth="1"/>
    <col min="19" max="19" width="2.85546875" style="1" customWidth="1"/>
    <col min="20" max="20" width="22.42578125" style="1" bestFit="1" customWidth="1"/>
    <col min="21" max="22" width="7.140625" style="1" customWidth="1"/>
    <col min="23" max="23" width="9.85546875" style="1" bestFit="1" customWidth="1"/>
    <col min="24" max="24" width="9" style="1" bestFit="1" customWidth="1"/>
    <col min="25" max="16384" width="9.140625" style="1"/>
  </cols>
  <sheetData>
    <row r="1" spans="2:25" ht="12.75" thickBot="1" x14ac:dyDescent="0.25"/>
    <row r="2" spans="2:25" x14ac:dyDescent="0.2">
      <c r="B2" s="417" t="s">
        <v>59</v>
      </c>
      <c r="C2" s="418"/>
    </row>
    <row r="3" spans="2:25" x14ac:dyDescent="0.2">
      <c r="B3" s="4" t="s">
        <v>58</v>
      </c>
      <c r="C3" s="5" t="str">
        <f>ProjectName</f>
        <v>Montage</v>
      </c>
    </row>
    <row r="4" spans="2:25" ht="12.75" thickBot="1" x14ac:dyDescent="0.25">
      <c r="B4" s="6" t="s">
        <v>56</v>
      </c>
      <c r="C4" s="7">
        <f>TeamNumber</f>
        <v>181430</v>
      </c>
    </row>
    <row r="5" spans="2:25" ht="12.75" thickBot="1" x14ac:dyDescent="0.25"/>
    <row r="6" spans="2:25" x14ac:dyDescent="0.2">
      <c r="B6" s="419" t="s">
        <v>81</v>
      </c>
      <c r="C6" s="420"/>
      <c r="D6" s="420"/>
      <c r="E6" s="421"/>
      <c r="G6" s="419" t="s">
        <v>117</v>
      </c>
      <c r="H6" s="420"/>
      <c r="I6" s="420"/>
      <c r="J6" s="420"/>
      <c r="K6" s="420"/>
      <c r="L6" s="420"/>
      <c r="M6" s="421"/>
      <c r="O6" s="419" t="s">
        <v>125</v>
      </c>
      <c r="P6" s="420"/>
      <c r="Q6" s="420"/>
      <c r="R6" s="421"/>
      <c r="T6" s="419" t="s">
        <v>82</v>
      </c>
      <c r="U6" s="420"/>
      <c r="V6" s="420"/>
      <c r="W6" s="420"/>
      <c r="X6" s="420"/>
      <c r="Y6" s="421"/>
    </row>
    <row r="7" spans="2:25" x14ac:dyDescent="0.2">
      <c r="B7" s="50" t="s">
        <v>62</v>
      </c>
      <c r="C7" s="51"/>
      <c r="D7" s="9"/>
      <c r="E7" s="13"/>
      <c r="G7" s="50" t="s">
        <v>36</v>
      </c>
      <c r="H7" s="105"/>
      <c r="I7" s="106"/>
      <c r="J7" s="51"/>
      <c r="K7" s="52"/>
      <c r="L7" s="12"/>
      <c r="M7" s="117"/>
      <c r="O7" s="50" t="s">
        <v>91</v>
      </c>
      <c r="P7" s="51"/>
      <c r="Q7" s="103" t="s">
        <v>98</v>
      </c>
      <c r="R7" s="91"/>
      <c r="T7" s="50" t="s">
        <v>185</v>
      </c>
      <c r="U7" s="431" t="s">
        <v>187</v>
      </c>
      <c r="V7" s="432"/>
      <c r="W7" s="189" t="s">
        <v>116</v>
      </c>
      <c r="X7" s="189" t="s">
        <v>188</v>
      </c>
      <c r="Y7" s="190" t="s">
        <v>116</v>
      </c>
    </row>
    <row r="8" spans="2:25" x14ac:dyDescent="0.2">
      <c r="B8" s="53" t="s">
        <v>83</v>
      </c>
      <c r="C8" s="54" t="s">
        <v>84</v>
      </c>
      <c r="D8" s="54" t="s">
        <v>85</v>
      </c>
      <c r="E8" s="56" t="s">
        <v>86</v>
      </c>
      <c r="G8" s="53" t="s">
        <v>107</v>
      </c>
      <c r="H8" s="55" t="s">
        <v>111</v>
      </c>
      <c r="I8" s="107" t="s">
        <v>112</v>
      </c>
      <c r="J8" s="54" t="s">
        <v>113</v>
      </c>
      <c r="K8" s="55" t="s">
        <v>114</v>
      </c>
      <c r="L8" s="54" t="s">
        <v>115</v>
      </c>
      <c r="M8" s="118" t="s">
        <v>116</v>
      </c>
      <c r="O8" s="53" t="s">
        <v>92</v>
      </c>
      <c r="P8" s="54"/>
      <c r="Q8" s="104" t="s">
        <v>99</v>
      </c>
      <c r="R8" s="56"/>
      <c r="T8" s="53" t="s">
        <v>186</v>
      </c>
      <c r="U8" s="196" t="s">
        <v>112</v>
      </c>
      <c r="V8" s="198" t="s">
        <v>111</v>
      </c>
      <c r="W8" s="191" t="s">
        <v>190</v>
      </c>
      <c r="X8" s="191" t="s">
        <v>189</v>
      </c>
      <c r="Y8" s="192" t="s">
        <v>188</v>
      </c>
    </row>
    <row r="9" spans="2:25" x14ac:dyDescent="0.2">
      <c r="B9" s="4" t="s">
        <v>87</v>
      </c>
      <c r="C9" s="88">
        <v>43101</v>
      </c>
      <c r="D9" s="89">
        <v>24</v>
      </c>
      <c r="E9" s="86">
        <f>EDATE(C9,D9)-1</f>
        <v>43830</v>
      </c>
      <c r="G9" s="4" t="s">
        <v>108</v>
      </c>
      <c r="H9" s="113">
        <v>195</v>
      </c>
      <c r="I9" s="114">
        <v>265</v>
      </c>
      <c r="J9" s="102">
        <v>1.1499999999999999</v>
      </c>
      <c r="K9" s="108">
        <f>H9*J9</f>
        <v>224.24999999999997</v>
      </c>
      <c r="L9" s="111">
        <f>I9*J9</f>
        <v>304.75</v>
      </c>
      <c r="M9" s="119">
        <v>250</v>
      </c>
      <c r="O9" s="4" t="s">
        <v>94</v>
      </c>
      <c r="P9" s="97">
        <v>0.6</v>
      </c>
      <c r="Q9" s="52" t="s">
        <v>94</v>
      </c>
      <c r="R9" s="93">
        <v>0.65</v>
      </c>
      <c r="T9" s="4" t="s">
        <v>192</v>
      </c>
      <c r="U9" s="197"/>
      <c r="V9" s="199"/>
      <c r="W9" s="194">
        <v>3.5000000000000003E-2</v>
      </c>
      <c r="X9" s="200">
        <v>25</v>
      </c>
      <c r="Y9" s="193">
        <f>IF(W9="","",W9+X9/10000)</f>
        <v>3.7500000000000006E-2</v>
      </c>
    </row>
    <row r="10" spans="2:25" x14ac:dyDescent="0.2">
      <c r="B10" s="4" t="s">
        <v>88</v>
      </c>
      <c r="C10" s="85">
        <f>E9+1</f>
        <v>43831</v>
      </c>
      <c r="D10" s="89">
        <v>24</v>
      </c>
      <c r="E10" s="86">
        <f t="shared" ref="E10:E11" si="0">EDATE(C10,D10)-1</f>
        <v>44561</v>
      </c>
      <c r="G10" s="4" t="s">
        <v>109</v>
      </c>
      <c r="H10" s="113">
        <v>215</v>
      </c>
      <c r="I10" s="114">
        <v>280</v>
      </c>
      <c r="J10" s="116">
        <f>$J$9</f>
        <v>1.1499999999999999</v>
      </c>
      <c r="K10" s="108">
        <f t="shared" ref="K10:K11" si="1">H10*J10</f>
        <v>247.24999999999997</v>
      </c>
      <c r="L10" s="111">
        <f t="shared" ref="L10:L11" si="2">I10*J10</f>
        <v>322</v>
      </c>
      <c r="M10" s="119">
        <v>260</v>
      </c>
      <c r="O10" s="4" t="s">
        <v>95</v>
      </c>
      <c r="P10" s="97">
        <v>0.2</v>
      </c>
      <c r="Q10" s="52" t="s">
        <v>95</v>
      </c>
      <c r="R10" s="93">
        <v>0</v>
      </c>
      <c r="T10" s="121" t="s">
        <v>193</v>
      </c>
      <c r="U10" s="197">
        <v>0.03</v>
      </c>
      <c r="V10" s="199">
        <v>3.7499999999999999E-2</v>
      </c>
      <c r="W10" s="194"/>
      <c r="X10" s="200"/>
      <c r="Y10" s="193" t="str">
        <f t="shared" ref="Y10:Y27" si="3">IF(W10="","",W10+X10/10000)</f>
        <v/>
      </c>
    </row>
    <row r="11" spans="2:25" x14ac:dyDescent="0.2">
      <c r="B11" s="4" t="s">
        <v>89</v>
      </c>
      <c r="C11" s="85">
        <f>E10+1</f>
        <v>44562</v>
      </c>
      <c r="D11" s="89">
        <v>12</v>
      </c>
      <c r="E11" s="86">
        <f t="shared" si="0"/>
        <v>44926</v>
      </c>
      <c r="G11" s="4" t="s">
        <v>110</v>
      </c>
      <c r="H11" s="113">
        <v>215</v>
      </c>
      <c r="I11" s="114">
        <v>290</v>
      </c>
      <c r="J11" s="116">
        <f>$J$9</f>
        <v>1.1499999999999999</v>
      </c>
      <c r="K11" s="108">
        <f t="shared" si="1"/>
        <v>247.24999999999997</v>
      </c>
      <c r="L11" s="111">
        <f t="shared" si="2"/>
        <v>333.5</v>
      </c>
      <c r="M11" s="119">
        <v>270</v>
      </c>
      <c r="O11" s="4" t="s">
        <v>93</v>
      </c>
      <c r="P11" s="100">
        <f>1-SUM(P9:P10)</f>
        <v>0.19999999999999996</v>
      </c>
      <c r="Q11" s="52" t="s">
        <v>93</v>
      </c>
      <c r="R11" s="94">
        <f>1-SUM(R9:R10)</f>
        <v>0.35</v>
      </c>
      <c r="T11" s="121" t="s">
        <v>194</v>
      </c>
      <c r="U11" s="197">
        <v>0.03</v>
      </c>
      <c r="V11" s="199">
        <v>3.7499999999999999E-2</v>
      </c>
      <c r="W11" s="194"/>
      <c r="X11" s="200"/>
      <c r="Y11" s="193" t="str">
        <f t="shared" si="3"/>
        <v/>
      </c>
    </row>
    <row r="12" spans="2:25" x14ac:dyDescent="0.2">
      <c r="B12" s="4" t="s">
        <v>90</v>
      </c>
      <c r="C12" s="85">
        <f>E11+1</f>
        <v>44927</v>
      </c>
      <c r="D12" s="89"/>
      <c r="E12" s="86"/>
      <c r="G12" s="121" t="s">
        <v>132</v>
      </c>
      <c r="H12" s="113">
        <v>75</v>
      </c>
      <c r="I12" s="114">
        <v>200</v>
      </c>
      <c r="J12" s="116">
        <f>$J$9</f>
        <v>1.1499999999999999</v>
      </c>
      <c r="K12" s="108">
        <f t="shared" ref="K12" si="4">H12*J12</f>
        <v>86.25</v>
      </c>
      <c r="L12" s="111">
        <f t="shared" ref="L12" si="5">I12*J12</f>
        <v>229.99999999999997</v>
      </c>
      <c r="M12" s="119">
        <v>100</v>
      </c>
      <c r="O12" s="4" t="s">
        <v>32</v>
      </c>
      <c r="P12" s="90">
        <f>SUM(P9:P11)</f>
        <v>1</v>
      </c>
      <c r="Q12" s="52" t="s">
        <v>32</v>
      </c>
      <c r="R12" s="92">
        <f>SUM(R9:R11)</f>
        <v>1</v>
      </c>
      <c r="T12" s="4"/>
      <c r="U12" s="197"/>
      <c r="V12" s="199"/>
      <c r="W12" s="194"/>
      <c r="X12" s="200"/>
      <c r="Y12" s="193" t="str">
        <f t="shared" si="3"/>
        <v/>
      </c>
    </row>
    <row r="13" spans="2:25" x14ac:dyDescent="0.2">
      <c r="B13" s="4"/>
      <c r="C13" s="34"/>
      <c r="D13" s="34"/>
      <c r="E13" s="5"/>
      <c r="G13" s="4"/>
      <c r="H13" s="109"/>
      <c r="I13" s="110"/>
      <c r="J13" s="115"/>
      <c r="K13" s="109"/>
      <c r="L13" s="112"/>
      <c r="M13" s="120"/>
      <c r="O13" s="4"/>
      <c r="P13" s="34"/>
      <c r="Q13" s="52"/>
      <c r="R13" s="5"/>
      <c r="T13" s="4" t="s">
        <v>70</v>
      </c>
      <c r="U13" s="197"/>
      <c r="V13" s="199"/>
      <c r="W13" s="194">
        <v>4.2500000000000003E-2</v>
      </c>
      <c r="X13" s="200">
        <v>25</v>
      </c>
      <c r="Y13" s="193">
        <f t="shared" si="3"/>
        <v>4.5000000000000005E-2</v>
      </c>
    </row>
    <row r="14" spans="2:25" x14ac:dyDescent="0.2">
      <c r="B14" s="50" t="s">
        <v>61</v>
      </c>
      <c r="C14" s="34"/>
      <c r="D14" s="34"/>
      <c r="E14" s="5"/>
      <c r="G14" s="50" t="s">
        <v>70</v>
      </c>
      <c r="H14" s="109"/>
      <c r="I14" s="110"/>
      <c r="J14" s="115"/>
      <c r="K14" s="109"/>
      <c r="L14" s="112"/>
      <c r="M14" s="120"/>
      <c r="O14" s="53" t="s">
        <v>104</v>
      </c>
      <c r="P14" s="54"/>
      <c r="Q14" s="104" t="s">
        <v>104</v>
      </c>
      <c r="R14" s="56"/>
      <c r="T14" s="121" t="s">
        <v>195</v>
      </c>
      <c r="U14" s="197">
        <v>0.05</v>
      </c>
      <c r="V14" s="199">
        <v>6.25E-2</v>
      </c>
      <c r="W14" s="194"/>
      <c r="X14" s="200"/>
      <c r="Y14" s="193" t="str">
        <f t="shared" si="3"/>
        <v/>
      </c>
    </row>
    <row r="15" spans="2:25" x14ac:dyDescent="0.2">
      <c r="B15" s="53" t="s">
        <v>83</v>
      </c>
      <c r="C15" s="54" t="s">
        <v>84</v>
      </c>
      <c r="D15" s="54" t="s">
        <v>85</v>
      </c>
      <c r="E15" s="56" t="s">
        <v>86</v>
      </c>
      <c r="G15" s="53" t="s">
        <v>107</v>
      </c>
      <c r="H15" s="55" t="s">
        <v>111</v>
      </c>
      <c r="I15" s="107" t="s">
        <v>112</v>
      </c>
      <c r="J15" s="54" t="s">
        <v>113</v>
      </c>
      <c r="K15" s="55" t="s">
        <v>114</v>
      </c>
      <c r="L15" s="54" t="s">
        <v>115</v>
      </c>
      <c r="M15" s="118" t="s">
        <v>116</v>
      </c>
      <c r="O15" s="4" t="str">
        <f>O9</f>
        <v>Senior Loan</v>
      </c>
      <c r="P15" s="99">
        <v>0.05</v>
      </c>
      <c r="Q15" s="52" t="str">
        <f>Q9</f>
        <v>Senior Loan</v>
      </c>
      <c r="R15" s="96">
        <v>4.4999999999999998E-2</v>
      </c>
      <c r="T15" s="121" t="s">
        <v>196</v>
      </c>
      <c r="U15" s="197">
        <v>3.7499999999999999E-2</v>
      </c>
      <c r="V15" s="199">
        <v>4.4999999999999998E-2</v>
      </c>
      <c r="W15" s="194"/>
      <c r="X15" s="200"/>
      <c r="Y15" s="193" t="str">
        <f t="shared" si="3"/>
        <v/>
      </c>
    </row>
    <row r="16" spans="2:25" x14ac:dyDescent="0.2">
      <c r="B16" s="4" t="s">
        <v>87</v>
      </c>
      <c r="C16" s="88">
        <v>43831</v>
      </c>
      <c r="D16" s="89">
        <v>24</v>
      </c>
      <c r="E16" s="86">
        <f>EDATE(C16,D16)-1</f>
        <v>44561</v>
      </c>
      <c r="G16" s="4" t="s">
        <v>121</v>
      </c>
      <c r="H16" s="113">
        <v>145</v>
      </c>
      <c r="I16" s="114">
        <v>200</v>
      </c>
      <c r="J16" s="116">
        <f t="shared" ref="J16:J19" si="6">$J$9</f>
        <v>1.1499999999999999</v>
      </c>
      <c r="K16" s="108">
        <f t="shared" ref="K16:K19" si="7">H16*J16</f>
        <v>166.75</v>
      </c>
      <c r="L16" s="111">
        <f t="shared" ref="L16:L19" si="8">I16*J16</f>
        <v>229.99999999999997</v>
      </c>
      <c r="M16" s="119">
        <v>190</v>
      </c>
      <c r="O16" s="4" t="str">
        <f>O10</f>
        <v>Mezzanine Loan</v>
      </c>
      <c r="P16" s="99">
        <v>0.12</v>
      </c>
      <c r="Q16" s="52" t="str">
        <f>Q10</f>
        <v>Mezzanine Loan</v>
      </c>
      <c r="R16" s="96" t="s">
        <v>11</v>
      </c>
      <c r="T16" s="121" t="s">
        <v>197</v>
      </c>
      <c r="U16" s="197">
        <v>3.2500000000000001E-2</v>
      </c>
      <c r="V16" s="199">
        <v>0.04</v>
      </c>
      <c r="W16" s="194"/>
      <c r="X16" s="200"/>
      <c r="Y16" s="193" t="str">
        <f t="shared" si="3"/>
        <v/>
      </c>
    </row>
    <row r="17" spans="2:25" x14ac:dyDescent="0.2">
      <c r="B17" s="4" t="s">
        <v>88</v>
      </c>
      <c r="C17" s="85">
        <f>E16+1</f>
        <v>44562</v>
      </c>
      <c r="D17" s="89">
        <v>24</v>
      </c>
      <c r="E17" s="86">
        <f t="shared" ref="E17:E18" si="9">EDATE(C17,D17)-1</f>
        <v>45291</v>
      </c>
      <c r="G17" s="4" t="s">
        <v>124</v>
      </c>
      <c r="H17" s="113"/>
      <c r="I17" s="114"/>
      <c r="J17" s="116"/>
      <c r="K17" s="108"/>
      <c r="L17" s="111"/>
      <c r="M17" s="119">
        <v>230</v>
      </c>
      <c r="O17" s="4"/>
      <c r="P17" s="99"/>
      <c r="Q17" s="52"/>
      <c r="R17" s="5"/>
      <c r="T17" s="4"/>
      <c r="U17" s="197"/>
      <c r="V17" s="199"/>
      <c r="W17" s="194"/>
      <c r="X17" s="200"/>
      <c r="Y17" s="193" t="str">
        <f t="shared" si="3"/>
        <v/>
      </c>
    </row>
    <row r="18" spans="2:25" x14ac:dyDescent="0.2">
      <c r="B18" s="4" t="s">
        <v>89</v>
      </c>
      <c r="C18" s="85">
        <f>E17+1</f>
        <v>45292</v>
      </c>
      <c r="D18" s="89">
        <v>12</v>
      </c>
      <c r="E18" s="86">
        <f t="shared" si="9"/>
        <v>45657</v>
      </c>
      <c r="G18" s="121" t="s">
        <v>123</v>
      </c>
      <c r="H18" s="113">
        <v>105</v>
      </c>
      <c r="I18" s="114">
        <v>170</v>
      </c>
      <c r="J18" s="116">
        <f t="shared" si="6"/>
        <v>1.1499999999999999</v>
      </c>
      <c r="K18" s="108">
        <f t="shared" si="7"/>
        <v>120.74999999999999</v>
      </c>
      <c r="L18" s="111">
        <f t="shared" si="8"/>
        <v>195.49999999999997</v>
      </c>
      <c r="M18" s="119"/>
      <c r="O18" s="53" t="s">
        <v>103</v>
      </c>
      <c r="P18" s="99"/>
      <c r="Q18" s="104" t="s">
        <v>103</v>
      </c>
      <c r="R18" s="56"/>
      <c r="T18" s="4" t="s">
        <v>35</v>
      </c>
      <c r="U18" s="197"/>
      <c r="V18" s="199"/>
      <c r="W18" s="194">
        <v>4.2500000000000003E-2</v>
      </c>
      <c r="X18" s="200">
        <v>25</v>
      </c>
      <c r="Y18" s="193">
        <f t="shared" si="3"/>
        <v>4.5000000000000005E-2</v>
      </c>
    </row>
    <row r="19" spans="2:25" x14ac:dyDescent="0.2">
      <c r="B19" s="4" t="s">
        <v>90</v>
      </c>
      <c r="C19" s="85">
        <f>E18+1</f>
        <v>45658</v>
      </c>
      <c r="D19" s="89"/>
      <c r="E19" s="86"/>
      <c r="G19" s="121" t="s">
        <v>122</v>
      </c>
      <c r="H19" s="113">
        <v>200</v>
      </c>
      <c r="I19" s="114">
        <v>280</v>
      </c>
      <c r="J19" s="116">
        <f t="shared" si="6"/>
        <v>1.1499999999999999</v>
      </c>
      <c r="K19" s="108">
        <f t="shared" si="7"/>
        <v>229.99999999999997</v>
      </c>
      <c r="L19" s="111">
        <f t="shared" si="8"/>
        <v>322</v>
      </c>
      <c r="M19" s="119"/>
      <c r="O19" s="4" t="str">
        <f>O15</f>
        <v>Senior Loan</v>
      </c>
      <c r="P19" s="102" t="s">
        <v>11</v>
      </c>
      <c r="Q19" s="52" t="str">
        <f>Q9</f>
        <v>Senior Loan</v>
      </c>
      <c r="R19" s="101">
        <v>1.2</v>
      </c>
      <c r="T19" s="121" t="s">
        <v>198</v>
      </c>
      <c r="U19" s="197">
        <v>0.04</v>
      </c>
      <c r="V19" s="199">
        <v>4.4999999999999998E-2</v>
      </c>
      <c r="W19" s="194"/>
      <c r="X19" s="200"/>
      <c r="Y19" s="193" t="str">
        <f t="shared" si="3"/>
        <v/>
      </c>
    </row>
    <row r="20" spans="2:25" x14ac:dyDescent="0.2">
      <c r="B20" s="4"/>
      <c r="C20" s="34"/>
      <c r="D20" s="34"/>
      <c r="E20" s="5"/>
      <c r="G20" s="4"/>
      <c r="H20" s="109"/>
      <c r="I20" s="110"/>
      <c r="J20" s="115"/>
      <c r="K20" s="109"/>
      <c r="L20" s="112"/>
      <c r="M20" s="120"/>
      <c r="O20" s="4" t="str">
        <f>O16</f>
        <v>Mezzanine Loan</v>
      </c>
      <c r="P20" s="102" t="s">
        <v>11</v>
      </c>
      <c r="Q20" s="52" t="str">
        <f>Q10</f>
        <v>Mezzanine Loan</v>
      </c>
      <c r="R20" s="101" t="s">
        <v>11</v>
      </c>
      <c r="T20" s="121" t="s">
        <v>199</v>
      </c>
      <c r="U20" s="197">
        <v>4.2500000000000003E-2</v>
      </c>
      <c r="V20" s="199">
        <v>4.7500000000000001E-2</v>
      </c>
      <c r="W20" s="194"/>
      <c r="X20" s="200"/>
      <c r="Y20" s="193" t="str">
        <f t="shared" si="3"/>
        <v/>
      </c>
    </row>
    <row r="21" spans="2:25" x14ac:dyDescent="0.2">
      <c r="B21" s="50" t="s">
        <v>60</v>
      </c>
      <c r="C21" s="34"/>
      <c r="D21" s="34"/>
      <c r="E21" s="5"/>
      <c r="G21" s="50" t="s">
        <v>35</v>
      </c>
      <c r="H21" s="109"/>
      <c r="I21" s="110"/>
      <c r="J21" s="115"/>
      <c r="K21" s="109"/>
      <c r="L21" s="112"/>
      <c r="M21" s="120"/>
      <c r="O21" s="4"/>
      <c r="P21" s="57"/>
      <c r="Q21" s="52"/>
      <c r="R21" s="13"/>
      <c r="T21" s="4"/>
      <c r="U21" s="197"/>
      <c r="V21" s="199"/>
      <c r="W21" s="194"/>
      <c r="X21" s="200"/>
      <c r="Y21" s="193" t="str">
        <f t="shared" si="3"/>
        <v/>
      </c>
    </row>
    <row r="22" spans="2:25" x14ac:dyDescent="0.2">
      <c r="B22" s="53" t="s">
        <v>83</v>
      </c>
      <c r="C22" s="54" t="s">
        <v>84</v>
      </c>
      <c r="D22" s="54" t="s">
        <v>85</v>
      </c>
      <c r="E22" s="56" t="s">
        <v>86</v>
      </c>
      <c r="G22" s="53" t="s">
        <v>107</v>
      </c>
      <c r="H22" s="55" t="s">
        <v>111</v>
      </c>
      <c r="I22" s="107" t="s">
        <v>112</v>
      </c>
      <c r="J22" s="54" t="s">
        <v>113</v>
      </c>
      <c r="K22" s="55" t="s">
        <v>114</v>
      </c>
      <c r="L22" s="54" t="s">
        <v>115</v>
      </c>
      <c r="M22" s="118" t="s">
        <v>116</v>
      </c>
      <c r="O22" s="53" t="s">
        <v>96</v>
      </c>
      <c r="P22" s="54"/>
      <c r="Q22" s="104" t="s">
        <v>96</v>
      </c>
      <c r="R22" s="56"/>
      <c r="T22" s="4" t="s">
        <v>73</v>
      </c>
      <c r="U22" s="197"/>
      <c r="V22" s="199"/>
      <c r="W22" s="194">
        <v>0.06</v>
      </c>
      <c r="X22" s="200">
        <v>25</v>
      </c>
      <c r="Y22" s="193">
        <f t="shared" si="3"/>
        <v>6.25E-2</v>
      </c>
    </row>
    <row r="23" spans="2:25" x14ac:dyDescent="0.2">
      <c r="B23" s="4" t="s">
        <v>87</v>
      </c>
      <c r="C23" s="88">
        <v>44562</v>
      </c>
      <c r="D23" s="89">
        <v>24</v>
      </c>
      <c r="E23" s="86">
        <f>EDATE(C23,D23)-1</f>
        <v>45291</v>
      </c>
      <c r="G23" s="4" t="s">
        <v>128</v>
      </c>
      <c r="H23" s="113">
        <v>210</v>
      </c>
      <c r="I23" s="114">
        <v>315</v>
      </c>
      <c r="J23" s="116">
        <f t="shared" ref="J23:J24" si="10">$J$9</f>
        <v>1.1499999999999999</v>
      </c>
      <c r="K23" s="108">
        <f t="shared" ref="K23:K24" si="11">H23*J23</f>
        <v>241.49999999999997</v>
      </c>
      <c r="L23" s="111">
        <f t="shared" ref="L23:L24" si="12">I23*J23</f>
        <v>362.25</v>
      </c>
      <c r="M23" s="119">
        <v>250</v>
      </c>
      <c r="O23" s="4" t="str">
        <f>O15</f>
        <v>Senior Loan</v>
      </c>
      <c r="P23" s="99">
        <v>0.01</v>
      </c>
      <c r="Q23" s="52" t="str">
        <f>Q19</f>
        <v>Senior Loan</v>
      </c>
      <c r="R23" s="96">
        <v>0.01</v>
      </c>
      <c r="T23" s="121" t="s">
        <v>200</v>
      </c>
      <c r="U23" s="197">
        <v>0.05</v>
      </c>
      <c r="V23" s="199">
        <v>6.25E-2</v>
      </c>
      <c r="W23" s="194"/>
      <c r="X23" s="200"/>
      <c r="Y23" s="193" t="str">
        <f t="shared" si="3"/>
        <v/>
      </c>
    </row>
    <row r="24" spans="2:25" x14ac:dyDescent="0.2">
      <c r="B24" s="4" t="s">
        <v>88</v>
      </c>
      <c r="C24" s="85">
        <f>E23+1</f>
        <v>45292</v>
      </c>
      <c r="D24" s="89">
        <v>24</v>
      </c>
      <c r="E24" s="86">
        <f t="shared" ref="E24:E25" si="13">EDATE(C24,D24)-1</f>
        <v>46022</v>
      </c>
      <c r="G24" s="121" t="s">
        <v>129</v>
      </c>
      <c r="H24" s="113">
        <v>80</v>
      </c>
      <c r="I24" s="114">
        <v>150</v>
      </c>
      <c r="J24" s="116">
        <f t="shared" si="10"/>
        <v>1.1499999999999999</v>
      </c>
      <c r="K24" s="108">
        <f t="shared" si="11"/>
        <v>92</v>
      </c>
      <c r="L24" s="111">
        <f t="shared" si="12"/>
        <v>172.5</v>
      </c>
      <c r="M24" s="119">
        <v>100</v>
      </c>
      <c r="O24" s="4" t="str">
        <f>O16</f>
        <v>Mezzanine Loan</v>
      </c>
      <c r="P24" s="99">
        <v>0.01</v>
      </c>
      <c r="Q24" s="52" t="str">
        <f>Q20</f>
        <v>Mezzanine Loan</v>
      </c>
      <c r="R24" s="96" t="s">
        <v>11</v>
      </c>
      <c r="T24" s="202" t="s">
        <v>201</v>
      </c>
      <c r="U24" s="203">
        <v>7.0000000000000007E-2</v>
      </c>
      <c r="V24" s="204">
        <v>0.08</v>
      </c>
      <c r="W24" s="205"/>
      <c r="X24" s="206"/>
      <c r="Y24" s="207" t="str">
        <f t="shared" si="3"/>
        <v/>
      </c>
    </row>
    <row r="25" spans="2:25" x14ac:dyDescent="0.2">
      <c r="B25" s="4" t="s">
        <v>89</v>
      </c>
      <c r="C25" s="85">
        <f>E24+1</f>
        <v>46023</v>
      </c>
      <c r="D25" s="89">
        <v>12</v>
      </c>
      <c r="E25" s="86">
        <f t="shared" si="13"/>
        <v>46387</v>
      </c>
      <c r="G25" s="4"/>
      <c r="H25" s="109"/>
      <c r="I25" s="110"/>
      <c r="J25" s="115"/>
      <c r="K25" s="109"/>
      <c r="L25" s="112"/>
      <c r="M25" s="120"/>
      <c r="O25" s="4"/>
      <c r="P25" s="99"/>
      <c r="Q25" s="52"/>
      <c r="R25" s="13"/>
      <c r="T25" s="50" t="s">
        <v>202</v>
      </c>
      <c r="U25" s="194"/>
      <c r="V25" s="194"/>
      <c r="W25" s="194"/>
      <c r="X25" s="200"/>
      <c r="Y25" s="193" t="str">
        <f t="shared" si="3"/>
        <v/>
      </c>
    </row>
    <row r="26" spans="2:25" x14ac:dyDescent="0.2">
      <c r="B26" s="4" t="s">
        <v>90</v>
      </c>
      <c r="C26" s="85">
        <f>E25+1</f>
        <v>46388</v>
      </c>
      <c r="D26" s="89"/>
      <c r="E26" s="86"/>
      <c r="G26" s="50" t="s">
        <v>73</v>
      </c>
      <c r="H26" s="109"/>
      <c r="I26" s="110"/>
      <c r="J26" s="115"/>
      <c r="K26" s="109"/>
      <c r="L26" s="112"/>
      <c r="M26" s="120"/>
      <c r="O26" s="53" t="s">
        <v>105</v>
      </c>
      <c r="P26" s="54"/>
      <c r="Q26" s="104" t="s">
        <v>105</v>
      </c>
      <c r="R26" s="56"/>
      <c r="T26" s="53" t="s">
        <v>135</v>
      </c>
      <c r="U26" s="195"/>
      <c r="V26" s="195"/>
      <c r="W26" s="195"/>
      <c r="X26" s="201"/>
      <c r="Y26" s="193" t="str">
        <f t="shared" si="3"/>
        <v/>
      </c>
    </row>
    <row r="27" spans="2:25" ht="12.75" thickBot="1" x14ac:dyDescent="0.25">
      <c r="B27" s="4"/>
      <c r="C27" s="12"/>
      <c r="D27" s="12"/>
      <c r="E27" s="13"/>
      <c r="G27" s="53" t="s">
        <v>107</v>
      </c>
      <c r="H27" s="55" t="s">
        <v>111</v>
      </c>
      <c r="I27" s="107" t="s">
        <v>112</v>
      </c>
      <c r="J27" s="54" t="s">
        <v>113</v>
      </c>
      <c r="K27" s="55" t="s">
        <v>114</v>
      </c>
      <c r="L27" s="54" t="s">
        <v>115</v>
      </c>
      <c r="M27" s="118" t="s">
        <v>116</v>
      </c>
      <c r="O27" s="4" t="str">
        <f>O23</f>
        <v>Senior Loan</v>
      </c>
      <c r="P27" s="99" t="s">
        <v>97</v>
      </c>
      <c r="Q27" s="52" t="str">
        <f>Q23</f>
        <v>Senior Loan</v>
      </c>
      <c r="R27" s="95">
        <v>30</v>
      </c>
      <c r="T27" s="4" t="s">
        <v>203</v>
      </c>
      <c r="U27" s="194">
        <v>0.01</v>
      </c>
      <c r="V27" s="194"/>
      <c r="W27" s="194"/>
      <c r="X27" s="200"/>
      <c r="Y27" s="193" t="str">
        <f t="shared" si="3"/>
        <v/>
      </c>
    </row>
    <row r="28" spans="2:25" ht="12.75" thickBot="1" x14ac:dyDescent="0.25">
      <c r="B28" s="50" t="s">
        <v>100</v>
      </c>
      <c r="C28" s="12"/>
      <c r="D28" s="12"/>
      <c r="E28" s="13"/>
      <c r="G28" s="4" t="s">
        <v>130</v>
      </c>
      <c r="H28" s="113">
        <v>225</v>
      </c>
      <c r="I28" s="114">
        <v>285</v>
      </c>
      <c r="J28" s="116">
        <f t="shared" ref="J28:J29" si="14">$J$9</f>
        <v>1.1499999999999999</v>
      </c>
      <c r="K28" s="108">
        <f t="shared" ref="K28:K29" si="15">H28*J28</f>
        <v>258.75</v>
      </c>
      <c r="L28" s="111">
        <f t="shared" ref="L28:L29" si="16">I28*J28</f>
        <v>327.75</v>
      </c>
      <c r="M28" s="119">
        <v>275</v>
      </c>
      <c r="O28" s="4" t="str">
        <f>O24</f>
        <v>Mezzanine Loan</v>
      </c>
      <c r="P28" s="99" t="s">
        <v>97</v>
      </c>
      <c r="Q28" s="52" t="str">
        <f>Q24</f>
        <v>Mezzanine Loan</v>
      </c>
      <c r="R28" s="95" t="s">
        <v>11</v>
      </c>
      <c r="T28" s="422" t="s">
        <v>191</v>
      </c>
      <c r="U28" s="423"/>
      <c r="V28" s="423"/>
      <c r="W28" s="423"/>
      <c r="X28" s="423"/>
      <c r="Y28" s="424"/>
    </row>
    <row r="29" spans="2:25" x14ac:dyDescent="0.2">
      <c r="B29" s="4" t="s">
        <v>102</v>
      </c>
      <c r="C29" s="89">
        <v>10</v>
      </c>
      <c r="D29" s="12"/>
      <c r="E29" s="13"/>
      <c r="G29" s="121" t="s">
        <v>131</v>
      </c>
      <c r="H29" s="113">
        <v>85</v>
      </c>
      <c r="I29" s="114">
        <v>140</v>
      </c>
      <c r="J29" s="116">
        <f t="shared" si="14"/>
        <v>1.1499999999999999</v>
      </c>
      <c r="K29" s="108">
        <f t="shared" si="15"/>
        <v>97.749999999999986</v>
      </c>
      <c r="L29" s="111">
        <f t="shared" si="16"/>
        <v>161</v>
      </c>
      <c r="M29" s="119">
        <v>100</v>
      </c>
      <c r="O29" s="4"/>
      <c r="P29" s="99"/>
      <c r="Q29" s="52"/>
      <c r="R29" s="13"/>
    </row>
    <row r="30" spans="2:25" ht="12.75" thickBot="1" x14ac:dyDescent="0.25">
      <c r="B30" s="6" t="s">
        <v>101</v>
      </c>
      <c r="C30" s="87">
        <f>EDATE(C9,C29*12)-1</f>
        <v>46752</v>
      </c>
      <c r="D30" s="15"/>
      <c r="E30" s="16"/>
      <c r="G30" s="4"/>
      <c r="H30" s="109"/>
      <c r="I30" s="110"/>
      <c r="J30" s="115"/>
      <c r="K30" s="109"/>
      <c r="L30" s="112"/>
      <c r="M30" s="120"/>
      <c r="O30" s="4"/>
      <c r="P30" s="99"/>
      <c r="Q30" s="104" t="s">
        <v>106</v>
      </c>
      <c r="R30" s="13"/>
    </row>
    <row r="31" spans="2:25" ht="12.75" thickBot="1" x14ac:dyDescent="0.25">
      <c r="G31" s="50" t="s">
        <v>133</v>
      </c>
      <c r="H31" s="109"/>
      <c r="I31" s="110"/>
      <c r="J31" s="115"/>
      <c r="K31" s="109"/>
      <c r="L31" s="112"/>
      <c r="M31" s="120"/>
      <c r="O31" s="4"/>
      <c r="P31" s="12"/>
      <c r="Q31" s="52" t="str">
        <f>Q23</f>
        <v>Senior Loan</v>
      </c>
      <c r="R31" s="95">
        <v>10</v>
      </c>
    </row>
    <row r="32" spans="2:25" ht="12.75" thickBot="1" x14ac:dyDescent="0.25">
      <c r="B32" s="419" t="s">
        <v>204</v>
      </c>
      <c r="C32" s="421"/>
      <c r="G32" s="53" t="s">
        <v>107</v>
      </c>
      <c r="H32" s="55" t="s">
        <v>111</v>
      </c>
      <c r="I32" s="107" t="s">
        <v>112</v>
      </c>
      <c r="J32" s="54" t="s">
        <v>113</v>
      </c>
      <c r="K32" s="55" t="s">
        <v>114</v>
      </c>
      <c r="L32" s="54" t="s">
        <v>115</v>
      </c>
      <c r="M32" s="118" t="s">
        <v>116</v>
      </c>
      <c r="O32" s="147"/>
      <c r="P32" s="49"/>
      <c r="Q32" s="208" t="str">
        <f>Q24</f>
        <v>Mezzanine Loan</v>
      </c>
      <c r="R32" s="209" t="s">
        <v>11</v>
      </c>
    </row>
    <row r="33" spans="2:18" ht="12.75" thickBot="1" x14ac:dyDescent="0.25">
      <c r="B33" s="53" t="s">
        <v>135</v>
      </c>
      <c r="C33" s="56" t="s">
        <v>205</v>
      </c>
      <c r="G33" s="4" t="s">
        <v>118</v>
      </c>
      <c r="H33" s="113">
        <v>95</v>
      </c>
      <c r="I33" s="114">
        <v>170</v>
      </c>
      <c r="J33" s="116">
        <f t="shared" ref="J33:J35" si="17">$J$9</f>
        <v>1.1499999999999999</v>
      </c>
      <c r="K33" s="108">
        <f t="shared" ref="K33:K35" si="18">H33*J33</f>
        <v>109.24999999999999</v>
      </c>
      <c r="L33" s="111">
        <f t="shared" ref="L33:L35" si="19">I33*J33</f>
        <v>195.49999999999997</v>
      </c>
      <c r="M33" s="119">
        <v>110</v>
      </c>
      <c r="O33" s="422" t="s">
        <v>126</v>
      </c>
      <c r="P33" s="423"/>
      <c r="Q33" s="423"/>
      <c r="R33" s="424"/>
    </row>
    <row r="34" spans="2:18" x14ac:dyDescent="0.2">
      <c r="B34" s="4" t="s">
        <v>327</v>
      </c>
      <c r="C34" s="213">
        <v>0.03</v>
      </c>
      <c r="G34" s="4" t="s">
        <v>71</v>
      </c>
      <c r="H34" s="113">
        <v>275</v>
      </c>
      <c r="I34" s="114">
        <v>425</v>
      </c>
      <c r="J34" s="116">
        <f t="shared" si="17"/>
        <v>1.1499999999999999</v>
      </c>
      <c r="K34" s="108">
        <f t="shared" si="18"/>
        <v>316.25</v>
      </c>
      <c r="L34" s="111">
        <f t="shared" si="19"/>
        <v>488.74999999999994</v>
      </c>
      <c r="M34" s="119">
        <v>325</v>
      </c>
    </row>
    <row r="35" spans="2:18" x14ac:dyDescent="0.2">
      <c r="B35" s="4" t="s">
        <v>206</v>
      </c>
      <c r="C35" s="213">
        <v>0.03</v>
      </c>
      <c r="G35" s="4" t="s">
        <v>119</v>
      </c>
      <c r="H35" s="113">
        <v>395</v>
      </c>
      <c r="I35" s="114">
        <v>650</v>
      </c>
      <c r="J35" s="116">
        <f t="shared" si="17"/>
        <v>1.1499999999999999</v>
      </c>
      <c r="K35" s="108">
        <f t="shared" si="18"/>
        <v>454.24999999999994</v>
      </c>
      <c r="L35" s="111">
        <f t="shared" si="19"/>
        <v>747.49999999999989</v>
      </c>
      <c r="M35" s="119">
        <v>475</v>
      </c>
      <c r="Q35" s="97"/>
      <c r="R35" s="97"/>
    </row>
    <row r="36" spans="2:18" x14ac:dyDescent="0.2">
      <c r="B36" s="4" t="s">
        <v>323</v>
      </c>
      <c r="C36" s="213">
        <v>0.02</v>
      </c>
      <c r="G36" s="4"/>
      <c r="H36" s="113"/>
      <c r="I36" s="114"/>
      <c r="J36" s="116"/>
      <c r="K36" s="108"/>
      <c r="L36" s="111"/>
      <c r="M36" s="119"/>
      <c r="Q36" s="97"/>
      <c r="R36" s="97"/>
    </row>
    <row r="37" spans="2:18" x14ac:dyDescent="0.2">
      <c r="B37" s="4" t="s">
        <v>351</v>
      </c>
      <c r="C37" s="213">
        <v>0.03</v>
      </c>
      <c r="G37" s="50" t="s">
        <v>134</v>
      </c>
      <c r="H37" s="109"/>
      <c r="I37" s="110"/>
      <c r="J37" s="115"/>
      <c r="K37" s="109"/>
      <c r="L37" s="112"/>
      <c r="M37" s="120"/>
      <c r="Q37" s="98"/>
      <c r="R37" s="98"/>
    </row>
    <row r="38" spans="2:18" x14ac:dyDescent="0.2">
      <c r="B38" s="4" t="s">
        <v>367</v>
      </c>
      <c r="C38" s="213">
        <v>0.01</v>
      </c>
      <c r="G38" s="53" t="s">
        <v>135</v>
      </c>
      <c r="H38" s="55" t="s">
        <v>111</v>
      </c>
      <c r="I38" s="107" t="s">
        <v>112</v>
      </c>
      <c r="J38" s="54" t="s">
        <v>113</v>
      </c>
      <c r="K38" s="55" t="s">
        <v>114</v>
      </c>
      <c r="L38" s="54" t="s">
        <v>115</v>
      </c>
      <c r="M38" s="118" t="s">
        <v>116</v>
      </c>
      <c r="Q38" s="90"/>
      <c r="R38" s="90"/>
    </row>
    <row r="39" spans="2:18" x14ac:dyDescent="0.2">
      <c r="B39" s="4" t="s">
        <v>207</v>
      </c>
      <c r="C39" s="213">
        <v>0.03</v>
      </c>
      <c r="G39" s="4" t="s">
        <v>136</v>
      </c>
      <c r="H39" s="122">
        <v>4100</v>
      </c>
      <c r="I39" s="123">
        <v>4900</v>
      </c>
      <c r="J39" s="116">
        <f t="shared" ref="J39:J40" si="20">$J$9</f>
        <v>1.1499999999999999</v>
      </c>
      <c r="K39" s="124">
        <f t="shared" ref="K39:K40" si="21">H39*J39</f>
        <v>4715</v>
      </c>
      <c r="L39" s="125">
        <f t="shared" ref="L39:L40" si="22">I39*J39</f>
        <v>5635</v>
      </c>
      <c r="M39" s="126">
        <v>4800</v>
      </c>
      <c r="Q39" s="34"/>
      <c r="R39" s="34"/>
    </row>
    <row r="40" spans="2:18" x14ac:dyDescent="0.2">
      <c r="B40" s="4" t="s">
        <v>208</v>
      </c>
      <c r="C40" s="213">
        <v>0.03</v>
      </c>
      <c r="G40" s="147" t="s">
        <v>137</v>
      </c>
      <c r="H40" s="174">
        <v>187000</v>
      </c>
      <c r="I40" s="175">
        <v>313000</v>
      </c>
      <c r="J40" s="176">
        <f t="shared" si="20"/>
        <v>1.1499999999999999</v>
      </c>
      <c r="K40" s="177">
        <f t="shared" si="21"/>
        <v>215049.99999999997</v>
      </c>
      <c r="L40" s="178">
        <f t="shared" si="22"/>
        <v>359950</v>
      </c>
      <c r="M40" s="179">
        <v>220000</v>
      </c>
      <c r="Q40" s="54"/>
      <c r="R40" s="54"/>
    </row>
    <row r="41" spans="2:18" ht="12.75" thickBot="1" x14ac:dyDescent="0.25">
      <c r="B41" s="6" t="s">
        <v>209</v>
      </c>
      <c r="C41" s="214">
        <v>0.03</v>
      </c>
      <c r="G41" s="186" t="s">
        <v>181</v>
      </c>
      <c r="H41" s="180"/>
      <c r="I41" s="180"/>
      <c r="J41" s="181"/>
      <c r="K41" s="180"/>
      <c r="L41" s="180"/>
      <c r="M41" s="182"/>
      <c r="Q41" s="99"/>
      <c r="R41" s="99"/>
    </row>
    <row r="42" spans="2:18" x14ac:dyDescent="0.2">
      <c r="G42" s="53" t="s">
        <v>135</v>
      </c>
      <c r="H42" s="54"/>
      <c r="I42" s="54"/>
      <c r="J42" s="54"/>
      <c r="K42" s="54"/>
      <c r="L42" s="54"/>
      <c r="M42" s="56"/>
      <c r="Q42" s="34"/>
      <c r="R42" s="34"/>
    </row>
    <row r="43" spans="2:18" x14ac:dyDescent="0.2">
      <c r="G43" s="4" t="s">
        <v>182</v>
      </c>
      <c r="H43" s="187">
        <v>0.06</v>
      </c>
      <c r="I43" s="172"/>
      <c r="J43" s="116"/>
      <c r="K43" s="125"/>
      <c r="L43" s="125"/>
      <c r="M43" s="173"/>
      <c r="Q43" s="54"/>
      <c r="R43" s="54"/>
    </row>
    <row r="44" spans="2:18" x14ac:dyDescent="0.2">
      <c r="G44" s="4" t="s">
        <v>183</v>
      </c>
      <c r="H44" s="187">
        <v>0.15</v>
      </c>
      <c r="I44" s="172"/>
      <c r="J44" s="116"/>
      <c r="K44" s="125"/>
      <c r="L44" s="125"/>
      <c r="M44" s="173"/>
      <c r="Q44" s="99"/>
      <c r="R44" s="99"/>
    </row>
    <row r="45" spans="2:18" ht="12.75" thickBot="1" x14ac:dyDescent="0.25">
      <c r="G45" s="6" t="s">
        <v>184</v>
      </c>
      <c r="H45" s="188">
        <v>0.03</v>
      </c>
      <c r="I45" s="183"/>
      <c r="J45" s="184"/>
      <c r="K45" s="165"/>
      <c r="L45" s="165"/>
      <c r="M45" s="185"/>
      <c r="Q45" s="99"/>
      <c r="R45" s="99"/>
    </row>
    <row r="46" spans="2:18" x14ac:dyDescent="0.2">
      <c r="G46" s="425" t="s">
        <v>120</v>
      </c>
      <c r="H46" s="426"/>
      <c r="I46" s="426"/>
      <c r="J46" s="426"/>
      <c r="K46" s="426"/>
      <c r="L46" s="426"/>
      <c r="M46" s="427"/>
      <c r="Q46" s="57"/>
      <c r="R46" s="57"/>
    </row>
    <row r="47" spans="2:18" ht="12.75" thickBot="1" x14ac:dyDescent="0.25">
      <c r="G47" s="428" t="s">
        <v>127</v>
      </c>
      <c r="H47" s="429"/>
      <c r="I47" s="429"/>
      <c r="J47" s="429"/>
      <c r="K47" s="429"/>
      <c r="L47" s="429"/>
      <c r="M47" s="430"/>
      <c r="Q47" s="54"/>
      <c r="R47" s="54"/>
    </row>
    <row r="48" spans="2:18" x14ac:dyDescent="0.2">
      <c r="Q48" s="99"/>
      <c r="R48" s="99"/>
    </row>
    <row r="49" spans="17:18" x14ac:dyDescent="0.2">
      <c r="Q49" s="99"/>
      <c r="R49" s="99"/>
    </row>
    <row r="50" spans="17:18" x14ac:dyDescent="0.2">
      <c r="Q50" s="99"/>
      <c r="R50" s="99"/>
    </row>
    <row r="51" spans="17:18" x14ac:dyDescent="0.2">
      <c r="Q51" s="54"/>
      <c r="R51" s="54"/>
    </row>
    <row r="52" spans="17:18" x14ac:dyDescent="0.2">
      <c r="Q52" s="99"/>
      <c r="R52" s="99"/>
    </row>
    <row r="53" spans="17:18" x14ac:dyDescent="0.2">
      <c r="Q53" s="99"/>
      <c r="R53" s="99"/>
    </row>
  </sheetData>
  <mergeCells count="11">
    <mergeCell ref="B2:C2"/>
    <mergeCell ref="G6:M6"/>
    <mergeCell ref="U7:V7"/>
    <mergeCell ref="T28:Y28"/>
    <mergeCell ref="T6:Y6"/>
    <mergeCell ref="O6:R6"/>
    <mergeCell ref="B32:C32"/>
    <mergeCell ref="O33:R33"/>
    <mergeCell ref="G46:M46"/>
    <mergeCell ref="G47:M47"/>
    <mergeCell ref="B6:E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079A-9103-4429-A261-5AAED647C51F}">
  <sheetPr>
    <tabColor theme="8" tint="0.39997558519241921"/>
  </sheetPr>
  <dimension ref="B1:R24"/>
  <sheetViews>
    <sheetView workbookViewId="0">
      <selection activeCell="H13" sqref="H13:I22"/>
    </sheetView>
    <sheetView workbookViewId="1"/>
  </sheetViews>
  <sheetFormatPr defaultRowHeight="12" x14ac:dyDescent="0.2"/>
  <cols>
    <col min="1" max="1" width="2.85546875" style="1" customWidth="1"/>
    <col min="2" max="2" width="22.42578125" style="1" bestFit="1" customWidth="1"/>
    <col min="3" max="3" width="9.140625" style="1"/>
    <col min="4" max="4" width="6.7109375" style="1" bestFit="1" customWidth="1"/>
    <col min="5" max="5" width="7.28515625" style="1" bestFit="1" customWidth="1"/>
    <col min="6" max="6" width="7.85546875" style="1" bestFit="1" customWidth="1"/>
    <col min="7" max="7" width="2.85546875" style="1" customWidth="1"/>
    <col min="8" max="8" width="17.42578125" style="1" bestFit="1" customWidth="1"/>
    <col min="9" max="9" width="14.5703125" style="1" bestFit="1" customWidth="1"/>
    <col min="10" max="10" width="13.5703125" style="1" bestFit="1" customWidth="1"/>
    <col min="11" max="12" width="17.42578125" style="1" bestFit="1" customWidth="1"/>
    <col min="13" max="13" width="2.85546875" style="1" customWidth="1"/>
    <col min="14" max="14" width="14.7109375" style="1" bestFit="1" customWidth="1"/>
    <col min="15" max="15" width="14.5703125" style="1" bestFit="1" customWidth="1"/>
    <col min="16" max="16" width="15.7109375" style="1" bestFit="1" customWidth="1"/>
    <col min="17" max="17" width="19.5703125" style="1" bestFit="1" customWidth="1"/>
    <col min="18" max="18" width="18.85546875" style="1" bestFit="1" customWidth="1"/>
    <col min="19" max="19" width="2.85546875" style="1" customWidth="1"/>
    <col min="20" max="20" width="17.42578125" style="1" bestFit="1" customWidth="1"/>
    <col min="21" max="21" width="9.5703125" style="1" bestFit="1" customWidth="1"/>
    <col min="22" max="16384" width="9.140625" style="1"/>
  </cols>
  <sheetData>
    <row r="1" spans="2:18" ht="12.75" thickBot="1" x14ac:dyDescent="0.25"/>
    <row r="2" spans="2:18" x14ac:dyDescent="0.2">
      <c r="B2" s="417" t="s">
        <v>59</v>
      </c>
      <c r="C2" s="418"/>
    </row>
    <row r="3" spans="2:18" x14ac:dyDescent="0.2">
      <c r="B3" s="4" t="s">
        <v>58</v>
      </c>
      <c r="C3" s="5" t="str">
        <f>ProjectName</f>
        <v>Montage</v>
      </c>
    </row>
    <row r="4" spans="2:18" ht="12.75" thickBot="1" x14ac:dyDescent="0.25">
      <c r="B4" s="6" t="s">
        <v>56</v>
      </c>
      <c r="C4" s="7">
        <f>TeamNumber</f>
        <v>181430</v>
      </c>
    </row>
    <row r="5" spans="2:18" ht="12.75" thickBot="1" x14ac:dyDescent="0.25"/>
    <row r="6" spans="2:18" x14ac:dyDescent="0.2">
      <c r="B6" s="419" t="s">
        <v>169</v>
      </c>
      <c r="C6" s="420"/>
      <c r="D6" s="420"/>
      <c r="E6" s="420"/>
      <c r="F6" s="421"/>
      <c r="H6" s="419" t="s">
        <v>172</v>
      </c>
      <c r="I6" s="420"/>
      <c r="J6" s="420"/>
      <c r="K6" s="420"/>
      <c r="L6" s="421"/>
      <c r="N6" s="419" t="s">
        <v>177</v>
      </c>
      <c r="O6" s="420"/>
      <c r="P6" s="420"/>
      <c r="Q6" s="420"/>
      <c r="R6" s="421"/>
    </row>
    <row r="7" spans="2:18" x14ac:dyDescent="0.2">
      <c r="B7" s="50" t="s">
        <v>65</v>
      </c>
      <c r="C7" s="34"/>
      <c r="D7" s="64" t="s">
        <v>171</v>
      </c>
      <c r="E7" s="34" t="s">
        <v>171</v>
      </c>
      <c r="F7" s="5" t="s">
        <v>171</v>
      </c>
      <c r="H7" s="53" t="s">
        <v>63</v>
      </c>
      <c r="I7" s="160" t="s">
        <v>173</v>
      </c>
      <c r="J7" s="54" t="s">
        <v>174</v>
      </c>
      <c r="K7" s="54" t="s">
        <v>176</v>
      </c>
      <c r="L7" s="56" t="s">
        <v>175</v>
      </c>
      <c r="N7" s="53" t="s">
        <v>63</v>
      </c>
      <c r="O7" s="160" t="s">
        <v>173</v>
      </c>
      <c r="P7" s="54" t="s">
        <v>180</v>
      </c>
      <c r="Q7" s="54" t="s">
        <v>178</v>
      </c>
      <c r="R7" s="56" t="s">
        <v>179</v>
      </c>
    </row>
    <row r="8" spans="2:18" x14ac:dyDescent="0.2">
      <c r="B8" s="53" t="s">
        <v>63</v>
      </c>
      <c r="C8" s="54" t="s">
        <v>170</v>
      </c>
      <c r="D8" s="55" t="s">
        <v>29</v>
      </c>
      <c r="E8" s="54" t="s">
        <v>28</v>
      </c>
      <c r="F8" s="56" t="s">
        <v>27</v>
      </c>
      <c r="H8" s="4" t="s">
        <v>15</v>
      </c>
      <c r="I8" s="57">
        <f>BuildingSummary!U56</f>
        <v>499.97999674267112</v>
      </c>
      <c r="J8" s="161">
        <v>3.75</v>
      </c>
      <c r="K8" s="125">
        <f>I8*J8</f>
        <v>1874.9249877850166</v>
      </c>
      <c r="L8" s="164">
        <f>K8*12</f>
        <v>22499.099853420201</v>
      </c>
      <c r="N8" s="4" t="s">
        <v>15</v>
      </c>
      <c r="O8" s="57">
        <f>I8</f>
        <v>499.97999674267112</v>
      </c>
      <c r="P8" s="111">
        <f>Q8/O8</f>
        <v>1.5400616124974742</v>
      </c>
      <c r="Q8" s="172">
        <v>770</v>
      </c>
      <c r="R8" s="164">
        <f>Q8*12</f>
        <v>9240</v>
      </c>
    </row>
    <row r="9" spans="2:18" x14ac:dyDescent="0.2">
      <c r="B9" s="4" t="s">
        <v>15</v>
      </c>
      <c r="C9" s="57">
        <f>SUM(D9:F9)</f>
        <v>73</v>
      </c>
      <c r="D9" s="58">
        <f>SUMIFS(BuildingSummary!$C50:$Q50,BuildingSummary!$C$32:$Q$32,"Rental",BuildingSummary!$C$18:$Q$18,'Assumptions-ResRental'!D$8)</f>
        <v>0</v>
      </c>
      <c r="E9" s="57">
        <f>SUMIFS(BuildingSummary!$C50:$Q50,BuildingSummary!$C$32:$Q$32,"Rental",BuildingSummary!$C$18:$Q$18,'Assumptions-ResRental'!E$8)</f>
        <v>43</v>
      </c>
      <c r="F9" s="59">
        <f>SUMIFS(BuildingSummary!$C50:$Q50,BuildingSummary!$C$32:$Q$32,"Rental",BuildingSummary!$C$18:$Q$18,'Assumptions-ResRental'!F$8)</f>
        <v>30</v>
      </c>
      <c r="H9" s="4" t="s">
        <v>14</v>
      </c>
      <c r="I9" s="57">
        <f>BuildingSummary!U57</f>
        <v>755.62486688888896</v>
      </c>
      <c r="J9" s="161">
        <v>3.4</v>
      </c>
      <c r="K9" s="125">
        <f t="shared" ref="K9:K11" si="0">I9*J9</f>
        <v>2569.1245474222223</v>
      </c>
      <c r="L9" s="164">
        <f t="shared" ref="L9:L11" si="1">K9*12</f>
        <v>30829.494569066668</v>
      </c>
      <c r="N9" s="4" t="s">
        <v>14</v>
      </c>
      <c r="O9" s="57">
        <f t="shared" ref="O9:O11" si="2">I9</f>
        <v>755.62486688888896</v>
      </c>
      <c r="P9" s="111">
        <f t="shared" ref="P9:P11" si="3">Q9/O9</f>
        <v>1.2043012874188683</v>
      </c>
      <c r="Q9" s="172">
        <v>910</v>
      </c>
      <c r="R9" s="164">
        <f t="shared" ref="R9:R11" si="4">Q9*12</f>
        <v>10920</v>
      </c>
    </row>
    <row r="10" spans="2:18" x14ac:dyDescent="0.2">
      <c r="B10" s="4" t="s">
        <v>14</v>
      </c>
      <c r="C10" s="57">
        <f>SUM(D10:F10)</f>
        <v>121</v>
      </c>
      <c r="D10" s="58">
        <f>SUMIFS(BuildingSummary!$C51:$Q51,BuildingSummary!$C$32:$Q$32,"Rental",BuildingSummary!$C$18:$Q$18,'Assumptions-ResRental'!D$8)</f>
        <v>0</v>
      </c>
      <c r="E10" s="57">
        <f>SUMIFS(BuildingSummary!$C51:$Q51,BuildingSummary!$C$32:$Q$32,"Rental",BuildingSummary!$C$18:$Q$18,'Assumptions-ResRental'!E$8)</f>
        <v>53</v>
      </c>
      <c r="F10" s="59">
        <f>SUMIFS(BuildingSummary!$C51:$Q51,BuildingSummary!$C$32:$Q$32,"Rental",BuildingSummary!$C$18:$Q$18,'Assumptions-ResRental'!F$8)</f>
        <v>68</v>
      </c>
      <c r="H10" s="4" t="s">
        <v>13</v>
      </c>
      <c r="I10" s="57">
        <f>BuildingSummary!U58</f>
        <v>961.69226557377033</v>
      </c>
      <c r="J10" s="161">
        <v>3.25</v>
      </c>
      <c r="K10" s="125">
        <f t="shared" si="0"/>
        <v>3125.4998631147537</v>
      </c>
      <c r="L10" s="164">
        <f t="shared" si="1"/>
        <v>37505.998357377044</v>
      </c>
      <c r="N10" s="4" t="s">
        <v>13</v>
      </c>
      <c r="O10" s="57">
        <f t="shared" si="2"/>
        <v>961.69226557377033</v>
      </c>
      <c r="P10" s="111">
        <f t="shared" si="3"/>
        <v>1.1157415302283009</v>
      </c>
      <c r="Q10" s="172">
        <v>1073</v>
      </c>
      <c r="R10" s="164">
        <f t="shared" si="4"/>
        <v>12876</v>
      </c>
    </row>
    <row r="11" spans="2:18" ht="12.75" thickBot="1" x14ac:dyDescent="0.25">
      <c r="B11" s="4" t="s">
        <v>13</v>
      </c>
      <c r="C11" s="57">
        <f>SUM(D11:F11)</f>
        <v>19</v>
      </c>
      <c r="D11" s="58">
        <f>SUMIFS(BuildingSummary!$C52:$Q52,BuildingSummary!$C$32:$Q$32,"Rental",BuildingSummary!$C$18:$Q$18,'Assumptions-ResRental'!D$8)</f>
        <v>0</v>
      </c>
      <c r="E11" s="57">
        <f>SUMIFS(BuildingSummary!$C52:$Q52,BuildingSummary!$C$32:$Q$32,"Rental",BuildingSummary!$C$18:$Q$18,'Assumptions-ResRental'!E$8)</f>
        <v>15</v>
      </c>
      <c r="F11" s="59">
        <f>SUMIFS(BuildingSummary!$C52:$Q52,BuildingSummary!$C$32:$Q$32,"Rental",BuildingSummary!$C$18:$Q$18,'Assumptions-ResRental'!F$8)</f>
        <v>4</v>
      </c>
      <c r="H11" s="6" t="s">
        <v>12</v>
      </c>
      <c r="I11" s="65">
        <f>BuildingSummary!U59</f>
        <v>1152.7017313432834</v>
      </c>
      <c r="J11" s="162">
        <v>3.1</v>
      </c>
      <c r="K11" s="165">
        <f t="shared" si="0"/>
        <v>3573.3753671641789</v>
      </c>
      <c r="L11" s="166">
        <f t="shared" si="1"/>
        <v>42880.504405970147</v>
      </c>
      <c r="N11" s="6" t="s">
        <v>12</v>
      </c>
      <c r="O11" s="65">
        <f t="shared" si="2"/>
        <v>1152.7017313432834</v>
      </c>
      <c r="P11" s="163">
        <f t="shared" si="3"/>
        <v>1.0618531808515896</v>
      </c>
      <c r="Q11" s="183">
        <v>1224</v>
      </c>
      <c r="R11" s="166">
        <f t="shared" si="4"/>
        <v>14688</v>
      </c>
    </row>
    <row r="12" spans="2:18" ht="12.75" thickBot="1" x14ac:dyDescent="0.25">
      <c r="B12" s="4" t="s">
        <v>12</v>
      </c>
      <c r="C12" s="60">
        <f>SUM(D12:F12)</f>
        <v>7</v>
      </c>
      <c r="D12" s="61">
        <f>SUMIFS(BuildingSummary!$C53:$Q53,BuildingSummary!$C$32:$Q$32,"Rental",BuildingSummary!$C$18:$Q$18,'Assumptions-ResRental'!D$8)</f>
        <v>0</v>
      </c>
      <c r="E12" s="62">
        <f>SUMIFS(BuildingSummary!$C53:$Q53,BuildingSummary!$C$32:$Q$32,"Rental",BuildingSummary!$C$18:$Q$18,'Assumptions-ResRental'!E$8)</f>
        <v>3</v>
      </c>
      <c r="F12" s="63">
        <f>SUMIFS(BuildingSummary!$C53:$Q53,BuildingSummary!$C$32:$Q$32,"Rental",BuildingSummary!$C$18:$Q$18,'Assumptions-ResRental'!F$8)</f>
        <v>4</v>
      </c>
    </row>
    <row r="13" spans="2:18" x14ac:dyDescent="0.2">
      <c r="B13" s="4" t="s">
        <v>32</v>
      </c>
      <c r="C13" s="57">
        <f>SUM(C9:C12)</f>
        <v>220</v>
      </c>
      <c r="D13" s="58">
        <f>SUM(D9:D12)</f>
        <v>0</v>
      </c>
      <c r="E13" s="57">
        <f>SUM(E9:E12)</f>
        <v>114</v>
      </c>
      <c r="F13" s="59">
        <f>SUM(F9:F12)</f>
        <v>106</v>
      </c>
      <c r="H13" s="419" t="s">
        <v>250</v>
      </c>
      <c r="I13" s="421"/>
      <c r="N13" s="419" t="s">
        <v>210</v>
      </c>
      <c r="O13" s="421"/>
      <c r="P13" s="3"/>
      <c r="Q13" s="419" t="s">
        <v>220</v>
      </c>
      <c r="R13" s="421"/>
    </row>
    <row r="14" spans="2:18" x14ac:dyDescent="0.2">
      <c r="B14" s="4"/>
      <c r="C14" s="34"/>
      <c r="D14" s="64"/>
      <c r="E14" s="34"/>
      <c r="F14" s="5"/>
      <c r="H14" s="53" t="s">
        <v>251</v>
      </c>
      <c r="I14" s="56" t="s">
        <v>213</v>
      </c>
      <c r="N14" s="435" t="s">
        <v>211</v>
      </c>
      <c r="O14" s="436"/>
      <c r="Q14" s="4" t="s">
        <v>221</v>
      </c>
      <c r="R14" s="93">
        <v>0.75</v>
      </c>
    </row>
    <row r="15" spans="2:18" ht="12.75" thickBot="1" x14ac:dyDescent="0.25">
      <c r="B15" s="50" t="s">
        <v>64</v>
      </c>
      <c r="C15" s="34"/>
      <c r="D15" s="64" t="s">
        <v>171</v>
      </c>
      <c r="E15" s="34" t="s">
        <v>171</v>
      </c>
      <c r="F15" s="5" t="s">
        <v>171</v>
      </c>
      <c r="H15" s="4" t="s">
        <v>252</v>
      </c>
      <c r="I15" s="96">
        <v>0.04</v>
      </c>
      <c r="N15" s="53" t="s">
        <v>214</v>
      </c>
      <c r="O15" s="56" t="s">
        <v>213</v>
      </c>
      <c r="Q15" s="6" t="s">
        <v>222</v>
      </c>
      <c r="R15" s="217">
        <v>150000</v>
      </c>
    </row>
    <row r="16" spans="2:18" x14ac:dyDescent="0.2">
      <c r="B16" s="53" t="s">
        <v>63</v>
      </c>
      <c r="C16" s="54" t="s">
        <v>170</v>
      </c>
      <c r="D16" s="55" t="s">
        <v>29</v>
      </c>
      <c r="E16" s="54" t="s">
        <v>28</v>
      </c>
      <c r="F16" s="56" t="s">
        <v>27</v>
      </c>
      <c r="H16" s="4" t="s">
        <v>253</v>
      </c>
      <c r="I16" s="96">
        <v>0.02</v>
      </c>
      <c r="N16" s="4" t="s">
        <v>24</v>
      </c>
      <c r="O16" s="93">
        <v>0.1</v>
      </c>
    </row>
    <row r="17" spans="2:15" x14ac:dyDescent="0.2">
      <c r="B17" s="4" t="s">
        <v>15</v>
      </c>
      <c r="C17" s="57">
        <f>SUM(D17:F17)</f>
        <v>9</v>
      </c>
      <c r="D17" s="58">
        <f>SUMIFS(BuildingSummary!$C44:$Q44,BuildingSummary!$C$32:$Q$32,"Rental",BuildingSummary!$C$18:$Q$18,'Assumptions-ResRental'!D$8)</f>
        <v>0</v>
      </c>
      <c r="E17" s="57">
        <f>SUMIFS(BuildingSummary!$C44:$Q44,BuildingSummary!$C$32:$Q$32,"Rental",BuildingSummary!$C$18:$Q$18,'Assumptions-ResRental'!E$8)</f>
        <v>5</v>
      </c>
      <c r="F17" s="59">
        <f>SUMIFS(BuildingSummary!$C44:$Q44,BuildingSummary!$C$32:$Q$32,"Rental",BuildingSummary!$C$18:$Q$18,'Assumptions-ResRental'!F$8)</f>
        <v>4</v>
      </c>
      <c r="H17" s="4" t="s">
        <v>254</v>
      </c>
      <c r="I17" s="96">
        <v>0.3</v>
      </c>
      <c r="N17" s="4" t="s">
        <v>23</v>
      </c>
      <c r="O17" s="93">
        <v>0.15</v>
      </c>
    </row>
    <row r="18" spans="2:15" x14ac:dyDescent="0.2">
      <c r="B18" s="4" t="s">
        <v>14</v>
      </c>
      <c r="C18" s="57">
        <f>SUM(D18:F18)</f>
        <v>13</v>
      </c>
      <c r="D18" s="58">
        <f>SUMIFS(BuildingSummary!$C45:$Q45,BuildingSummary!$C$32:$Q$32,"Rental",BuildingSummary!$C$18:$Q$18,'Assumptions-ResRental'!D$8)</f>
        <v>0</v>
      </c>
      <c r="E18" s="57">
        <f>SUMIFS(BuildingSummary!$C45:$Q45,BuildingSummary!$C$32:$Q$32,"Rental",BuildingSummary!$C$18:$Q$18,'Assumptions-ResRental'!E$8)</f>
        <v>7</v>
      </c>
      <c r="F18" s="59">
        <f>SUMIFS(BuildingSummary!$C45:$Q45,BuildingSummary!$C$32:$Q$32,"Rental",BuildingSummary!$C$18:$Q$18,'Assumptions-ResRental'!F$8)</f>
        <v>6</v>
      </c>
      <c r="H18" s="4"/>
      <c r="I18" s="13"/>
      <c r="N18" s="4"/>
      <c r="O18" s="13"/>
    </row>
    <row r="19" spans="2:15" x14ac:dyDescent="0.2">
      <c r="B19" s="4" t="s">
        <v>13</v>
      </c>
      <c r="C19" s="57">
        <f>SUM(D19:F19)</f>
        <v>17</v>
      </c>
      <c r="D19" s="58">
        <f>SUMIFS(BuildingSummary!$C46:$Q46,BuildingSummary!$C$32:$Q$32,"Rental",BuildingSummary!$C$18:$Q$18,'Assumptions-ResRental'!D$8)</f>
        <v>0</v>
      </c>
      <c r="E19" s="57">
        <f>SUMIFS(BuildingSummary!$C46:$Q46,BuildingSummary!$C$32:$Q$32,"Rental",BuildingSummary!$C$18:$Q$18,'Assumptions-ResRental'!E$8)</f>
        <v>9</v>
      </c>
      <c r="F19" s="59">
        <f>SUMIFS(BuildingSummary!$C46:$Q46,BuildingSummary!$C$32:$Q$32,"Rental",BuildingSummary!$C$18:$Q$18,'Assumptions-ResRental'!F$8)</f>
        <v>8</v>
      </c>
      <c r="H19" s="53" t="s">
        <v>255</v>
      </c>
      <c r="I19" s="56"/>
      <c r="N19" s="433" t="s">
        <v>212</v>
      </c>
      <c r="O19" s="434"/>
    </row>
    <row r="20" spans="2:15" x14ac:dyDescent="0.2">
      <c r="B20" s="4" t="s">
        <v>12</v>
      </c>
      <c r="C20" s="60">
        <f>SUM(D20:F20)</f>
        <v>5</v>
      </c>
      <c r="D20" s="61">
        <f>SUMIFS(BuildingSummary!$C47:$Q47,BuildingSummary!$C$32:$Q$32,"Rental",BuildingSummary!$C$18:$Q$18,'Assumptions-ResRental'!D$8)</f>
        <v>0</v>
      </c>
      <c r="E20" s="62">
        <f>SUMIFS(BuildingSummary!$C47:$Q47,BuildingSummary!$C$32:$Q$32,"Rental",BuildingSummary!$C$18:$Q$18,'Assumptions-ResRental'!E$8)</f>
        <v>3</v>
      </c>
      <c r="F20" s="63">
        <f>SUMIFS(BuildingSummary!$C47:$Q47,BuildingSummary!$C$32:$Q$32,"Rental",BuildingSummary!$C$18:$Q$18,'Assumptions-ResRental'!F$8)</f>
        <v>2</v>
      </c>
      <c r="H20" s="4" t="s">
        <v>256</v>
      </c>
      <c r="I20" s="93">
        <v>0.3</v>
      </c>
      <c r="N20" s="53" t="s">
        <v>63</v>
      </c>
      <c r="O20" s="56" t="s">
        <v>213</v>
      </c>
    </row>
    <row r="21" spans="2:15" ht="12.75" thickBot="1" x14ac:dyDescent="0.25">
      <c r="B21" s="6" t="s">
        <v>32</v>
      </c>
      <c r="C21" s="65">
        <f>SUM(C17:C20)</f>
        <v>44</v>
      </c>
      <c r="D21" s="66">
        <f>SUM(D17:D20)</f>
        <v>0</v>
      </c>
      <c r="E21" s="65">
        <f>SUM(E17:E20)</f>
        <v>24</v>
      </c>
      <c r="F21" s="67">
        <f>SUM(F17:F20)</f>
        <v>20</v>
      </c>
      <c r="H21" s="4"/>
      <c r="I21" s="93"/>
      <c r="N21" s="4" t="s">
        <v>15</v>
      </c>
      <c r="O21" s="93">
        <v>0.2</v>
      </c>
    </row>
    <row r="22" spans="2:15" ht="12.75" thickBot="1" x14ac:dyDescent="0.25">
      <c r="H22" s="6" t="s">
        <v>257</v>
      </c>
      <c r="I22" s="217">
        <v>300</v>
      </c>
      <c r="N22" s="4" t="s">
        <v>14</v>
      </c>
      <c r="O22" s="93">
        <v>0.3</v>
      </c>
    </row>
    <row r="23" spans="2:15" x14ac:dyDescent="0.2">
      <c r="N23" s="4" t="s">
        <v>13</v>
      </c>
      <c r="O23" s="93">
        <v>0.4</v>
      </c>
    </row>
    <row r="24" spans="2:15" ht="12.75" thickBot="1" x14ac:dyDescent="0.25">
      <c r="N24" s="6" t="s">
        <v>12</v>
      </c>
      <c r="O24" s="212">
        <v>0.1</v>
      </c>
    </row>
  </sheetData>
  <mergeCells count="9">
    <mergeCell ref="B6:F6"/>
    <mergeCell ref="B2:C2"/>
    <mergeCell ref="N19:O19"/>
    <mergeCell ref="Q13:R13"/>
    <mergeCell ref="H13:I13"/>
    <mergeCell ref="H6:L6"/>
    <mergeCell ref="N6:R6"/>
    <mergeCell ref="N13:O13"/>
    <mergeCell ref="N14:O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108D-C923-4A49-A0C6-ABF8FB99D071}">
  <sheetPr>
    <tabColor theme="2" tint="-0.499984740745262"/>
  </sheetPr>
  <dimension ref="B1:N179"/>
  <sheetViews>
    <sheetView workbookViewId="0"/>
    <sheetView workbookViewId="1"/>
  </sheetViews>
  <sheetFormatPr defaultRowHeight="12" x14ac:dyDescent="0.2"/>
  <cols>
    <col min="1" max="1" width="2.85546875" style="1" customWidth="1"/>
    <col min="2" max="2" width="29.7109375" style="1" bestFit="1" customWidth="1"/>
    <col min="3" max="3" width="9.140625" style="1"/>
    <col min="4" max="14" width="11.42578125" style="1" customWidth="1"/>
    <col min="15" max="16384" width="9.140625" style="1"/>
  </cols>
  <sheetData>
    <row r="1" spans="2:14" ht="12.75" thickBot="1" x14ac:dyDescent="0.25"/>
    <row r="2" spans="2:14" x14ac:dyDescent="0.2">
      <c r="B2" s="417" t="s">
        <v>59</v>
      </c>
      <c r="C2" s="418"/>
    </row>
    <row r="3" spans="2:14" x14ac:dyDescent="0.2">
      <c r="B3" s="4" t="s">
        <v>58</v>
      </c>
      <c r="C3" s="5" t="str">
        <f>ProjectName</f>
        <v>Montage</v>
      </c>
    </row>
    <row r="4" spans="2:14" ht="12.75" thickBot="1" x14ac:dyDescent="0.25">
      <c r="B4" s="6" t="s">
        <v>56</v>
      </c>
      <c r="C4" s="7">
        <f>TeamNumber</f>
        <v>181430</v>
      </c>
    </row>
    <row r="5" spans="2:14" ht="12.75" thickBot="1" x14ac:dyDescent="0.25"/>
    <row r="6" spans="2:14" x14ac:dyDescent="0.2">
      <c r="B6" s="419" t="s">
        <v>289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1"/>
    </row>
    <row r="7" spans="2:14" x14ac:dyDescent="0.2">
      <c r="B7" s="4" t="s">
        <v>290</v>
      </c>
      <c r="C7" s="12"/>
      <c r="D7" s="12">
        <v>1</v>
      </c>
      <c r="E7" s="12">
        <f>D7+1</f>
        <v>2</v>
      </c>
      <c r="F7" s="12">
        <f t="shared" ref="F7:N7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">
      <c r="B8" s="4" t="s">
        <v>291</v>
      </c>
      <c r="C8" s="12"/>
      <c r="D8" s="12">
        <f>YEAR('Assumptions-Overall'!C9)</f>
        <v>2018</v>
      </c>
      <c r="E8" s="12">
        <f>D8+1</f>
        <v>2019</v>
      </c>
      <c r="F8" s="12">
        <f t="shared" ref="F8:N8" si="1">E8+1</f>
        <v>2020</v>
      </c>
      <c r="G8" s="12">
        <f t="shared" si="1"/>
        <v>2021</v>
      </c>
      <c r="H8" s="12">
        <f t="shared" si="1"/>
        <v>2022</v>
      </c>
      <c r="I8" s="12">
        <f t="shared" si="1"/>
        <v>2023</v>
      </c>
      <c r="J8" s="12">
        <f t="shared" si="1"/>
        <v>2024</v>
      </c>
      <c r="K8" s="12">
        <f t="shared" si="1"/>
        <v>2025</v>
      </c>
      <c r="L8" s="12">
        <f t="shared" si="1"/>
        <v>2026</v>
      </c>
      <c r="M8" s="12">
        <f t="shared" si="1"/>
        <v>2027</v>
      </c>
      <c r="N8" s="13">
        <f t="shared" si="1"/>
        <v>2028</v>
      </c>
    </row>
    <row r="9" spans="2:14" x14ac:dyDescent="0.2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">
      <c r="B10" s="243" t="s">
        <v>292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">
      <c r="B11" s="4" t="s">
        <v>293</v>
      </c>
      <c r="C11" s="12"/>
      <c r="D11" s="244">
        <f>(D$8&gt;=YEAR(PhaseIComplete))*SUMIFS(BuildingSummary!$C$20:$Q$20,BuildingSummary!$C$32:$Q$32,"Rental",BuildingSummary!$C$18:$Q$18,"I")+(D$8&gt;=YEAR(PhaseIComplete))*SUMIFS(BuildingSummary!$C$27:$Q$27,BuildingSummary!$C$32:$Q$32,"Rental",BuildingSummary!$C$18:$Q$18,"I")</f>
        <v>0</v>
      </c>
      <c r="E11" s="244">
        <f>(E$8&gt;=YEAR(PhaseIComplete))*SUMIFS(BuildingSummary!$C$20:$Q$20,BuildingSummary!$C$32:$Q$32,"Rental",BuildingSummary!$C$18:$Q$18,"I")+(E$8&gt;=YEAR(PhaseIComplete))*SUMIFS(BuildingSummary!$C$27:$Q$27,BuildingSummary!$C$32:$Q$32,"Rental",BuildingSummary!$C$18:$Q$18,"I")</f>
        <v>0</v>
      </c>
      <c r="F11" s="244">
        <f>(F$8&gt;=YEAR(PhaseIComplete))*SUMIFS(BuildingSummary!$C$20:$Q$20,BuildingSummary!$C$32:$Q$32,"Rental",BuildingSummary!$C$18:$Q$18,"I")+(F$8&gt;=YEAR(PhaseIComplete))*SUMIFS(BuildingSummary!$C$27:$Q$27,BuildingSummary!$C$32:$Q$32,"Rental",BuildingSummary!$C$18:$Q$18,"I")</f>
        <v>0</v>
      </c>
      <c r="G11" s="244">
        <f>(G$8&gt;=YEAR(PhaseIComplete))*SUMIFS(BuildingSummary!$C$20:$Q$20,BuildingSummary!$C$32:$Q$32,"Rental",BuildingSummary!$C$18:$Q$18,"I")+(G$8&gt;=YEAR(PhaseIComplete))*SUMIFS(BuildingSummary!$C$27:$Q$27,BuildingSummary!$C$32:$Q$32,"Rental",BuildingSummary!$C$18:$Q$18,"I")</f>
        <v>0</v>
      </c>
      <c r="H11" s="244">
        <f>(H$8&gt;=YEAR(PhaseIComplete))*SUMIFS(BuildingSummary!$C$20:$Q$20,BuildingSummary!$C$32:$Q$32,"Rental",BuildingSummary!$C$18:$Q$18,"I")+(H$8&gt;=YEAR(PhaseIComplete))*SUMIFS(BuildingSummary!$C$27:$Q$27,BuildingSummary!$C$32:$Q$32,"Rental",BuildingSummary!$C$18:$Q$18,"I")</f>
        <v>0</v>
      </c>
      <c r="I11" s="244">
        <f>(I$8&gt;=YEAR(PhaseIComplete))*SUMIFS(BuildingSummary!$C$20:$Q$20,BuildingSummary!$C$32:$Q$32,"Rental",BuildingSummary!$C$18:$Q$18,"I")+(I$8&gt;=YEAR(PhaseIComplete))*SUMIFS(BuildingSummary!$C$27:$Q$27,BuildingSummary!$C$32:$Q$32,"Rental",BuildingSummary!$C$18:$Q$18,"I")</f>
        <v>0</v>
      </c>
      <c r="J11" s="244">
        <f>(J$8&gt;=YEAR(PhaseIComplete))*SUMIFS(BuildingSummary!$C$20:$Q$20,BuildingSummary!$C$32:$Q$32,"Rental",BuildingSummary!$C$18:$Q$18,"I")+(J$8&gt;=YEAR(PhaseIComplete))*SUMIFS(BuildingSummary!$C$27:$Q$27,BuildingSummary!$C$32:$Q$32,"Rental",BuildingSummary!$C$18:$Q$18,"I")</f>
        <v>0</v>
      </c>
      <c r="K11" s="244">
        <f>(K$8&gt;=YEAR(PhaseIComplete))*SUMIFS(BuildingSummary!$C$20:$Q$20,BuildingSummary!$C$32:$Q$32,"Rental",BuildingSummary!$C$18:$Q$18,"I")+(K$8&gt;=YEAR(PhaseIComplete))*SUMIFS(BuildingSummary!$C$27:$Q$27,BuildingSummary!$C$32:$Q$32,"Rental",BuildingSummary!$C$18:$Q$18,"I")</f>
        <v>0</v>
      </c>
      <c r="L11" s="244">
        <f>(L$8&gt;=YEAR(PhaseIComplete))*SUMIFS(BuildingSummary!$C$20:$Q$20,BuildingSummary!$C$32:$Q$32,"Rental",BuildingSummary!$C$18:$Q$18,"I")+(L$8&gt;=YEAR(PhaseIComplete))*SUMIFS(BuildingSummary!$C$27:$Q$27,BuildingSummary!$C$32:$Q$32,"Rental",BuildingSummary!$C$18:$Q$18,"I")</f>
        <v>0</v>
      </c>
      <c r="M11" s="244">
        <f>(M$8&gt;=YEAR(PhaseIComplete))*SUMIFS(BuildingSummary!$C$20:$Q$20,BuildingSummary!$C$32:$Q$32,"Rental",BuildingSummary!$C$18:$Q$18,"I")+(M$8&gt;=YEAR(PhaseIComplete))*SUMIFS(BuildingSummary!$C$27:$Q$27,BuildingSummary!$C$32:$Q$32,"Rental",BuildingSummary!$C$18:$Q$18,"I")</f>
        <v>0</v>
      </c>
      <c r="N11" s="245">
        <f>(N$8&gt;=YEAR(PhaseIComplete))*SUMIFS(BuildingSummary!$C$20:$Q$20,BuildingSummary!$C$32:$Q$32,"Rental",BuildingSummary!$C$18:$Q$18,"I")+(N$8&gt;=YEAR(PhaseIComplete))*SUMIFS(BuildingSummary!$C$27:$Q$27,BuildingSummary!$C$32:$Q$32,"Rental",BuildingSummary!$C$18:$Q$18,"I")</f>
        <v>0</v>
      </c>
    </row>
    <row r="12" spans="2:14" x14ac:dyDescent="0.2">
      <c r="B12" s="4" t="s">
        <v>294</v>
      </c>
      <c r="C12" s="12"/>
      <c r="D12" s="244">
        <f>D11-C11</f>
        <v>0</v>
      </c>
      <c r="E12" s="244">
        <f t="shared" ref="E12:N12" si="2">E11-D11</f>
        <v>0</v>
      </c>
      <c r="F12" s="244">
        <f t="shared" si="2"/>
        <v>0</v>
      </c>
      <c r="G12" s="244">
        <f t="shared" si="2"/>
        <v>0</v>
      </c>
      <c r="H12" s="244">
        <f t="shared" si="2"/>
        <v>0</v>
      </c>
      <c r="I12" s="244">
        <f t="shared" si="2"/>
        <v>0</v>
      </c>
      <c r="J12" s="244">
        <f t="shared" si="2"/>
        <v>0</v>
      </c>
      <c r="K12" s="244">
        <f t="shared" si="2"/>
        <v>0</v>
      </c>
      <c r="L12" s="244">
        <f t="shared" si="2"/>
        <v>0</v>
      </c>
      <c r="M12" s="244">
        <f t="shared" si="2"/>
        <v>0</v>
      </c>
      <c r="N12" s="245">
        <f t="shared" si="2"/>
        <v>0</v>
      </c>
    </row>
    <row r="13" spans="2:14" x14ac:dyDescent="0.2">
      <c r="B13" s="4"/>
      <c r="C13" s="12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/>
    </row>
    <row r="14" spans="2:14" x14ac:dyDescent="0.2">
      <c r="B14" s="53" t="s">
        <v>295</v>
      </c>
      <c r="C14" s="12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</row>
    <row r="15" spans="2:14" x14ac:dyDescent="0.2">
      <c r="B15" s="4" t="s">
        <v>15</v>
      </c>
      <c r="C15" s="12"/>
      <c r="D15" s="244">
        <f>(D$8&gt;=YEAR(PhaseIComplete))*'Assumptions-ResRental'!$D9</f>
        <v>0</v>
      </c>
      <c r="E15" s="244">
        <f>(E$8&gt;=YEAR(PhaseIComplete))*'Assumptions-ResRental'!$D9</f>
        <v>0</v>
      </c>
      <c r="F15" s="244">
        <f>(F$8&gt;=YEAR(PhaseIComplete))*'Assumptions-ResRental'!$D9</f>
        <v>0</v>
      </c>
      <c r="G15" s="244">
        <f>(G$8&gt;=YEAR(PhaseIComplete))*'Assumptions-ResRental'!$D9</f>
        <v>0</v>
      </c>
      <c r="H15" s="244">
        <f>(H$8&gt;=YEAR(PhaseIComplete))*'Assumptions-ResRental'!$D9</f>
        <v>0</v>
      </c>
      <c r="I15" s="244">
        <f>(I$8&gt;=YEAR(PhaseIComplete))*'Assumptions-ResRental'!$D9</f>
        <v>0</v>
      </c>
      <c r="J15" s="244">
        <f>(J$8&gt;=YEAR(PhaseIComplete))*'Assumptions-ResRental'!$D9</f>
        <v>0</v>
      </c>
      <c r="K15" s="244">
        <f>(K$8&gt;=YEAR(PhaseIComplete))*'Assumptions-ResRental'!$D9</f>
        <v>0</v>
      </c>
      <c r="L15" s="244">
        <f>(L$8&gt;=YEAR(PhaseIComplete))*'Assumptions-ResRental'!$D9</f>
        <v>0</v>
      </c>
      <c r="M15" s="244">
        <f>(M$8&gt;=YEAR(PhaseIComplete))*'Assumptions-ResRental'!$D9</f>
        <v>0</v>
      </c>
      <c r="N15" s="245">
        <f>(N$8&gt;=YEAR(PhaseIComplete))*'Assumptions-ResRental'!$D9</f>
        <v>0</v>
      </c>
    </row>
    <row r="16" spans="2:14" x14ac:dyDescent="0.2">
      <c r="B16" s="4" t="s">
        <v>14</v>
      </c>
      <c r="C16" s="12"/>
      <c r="D16" s="244">
        <f>(D$8&gt;=YEAR(PhaseIComplete))*'Assumptions-ResRental'!$D10</f>
        <v>0</v>
      </c>
      <c r="E16" s="244">
        <f>(E$8&gt;=YEAR(PhaseIComplete))*'Assumptions-ResRental'!$D10</f>
        <v>0</v>
      </c>
      <c r="F16" s="244">
        <f>(F$8&gt;=YEAR(PhaseIComplete))*'Assumptions-ResRental'!$D10</f>
        <v>0</v>
      </c>
      <c r="G16" s="244">
        <f>(G$8&gt;=YEAR(PhaseIComplete))*'Assumptions-ResRental'!$D10</f>
        <v>0</v>
      </c>
      <c r="H16" s="244">
        <f>(H$8&gt;=YEAR(PhaseIComplete))*'Assumptions-ResRental'!$D10</f>
        <v>0</v>
      </c>
      <c r="I16" s="244">
        <f>(I$8&gt;=YEAR(PhaseIComplete))*'Assumptions-ResRental'!$D10</f>
        <v>0</v>
      </c>
      <c r="J16" s="244">
        <f>(J$8&gt;=YEAR(PhaseIComplete))*'Assumptions-ResRental'!$D10</f>
        <v>0</v>
      </c>
      <c r="K16" s="244">
        <f>(K$8&gt;=YEAR(PhaseIComplete))*'Assumptions-ResRental'!$D10</f>
        <v>0</v>
      </c>
      <c r="L16" s="244">
        <f>(L$8&gt;=YEAR(PhaseIComplete))*'Assumptions-ResRental'!$D10</f>
        <v>0</v>
      </c>
      <c r="M16" s="244">
        <f>(M$8&gt;=YEAR(PhaseIComplete))*'Assumptions-ResRental'!$D10</f>
        <v>0</v>
      </c>
      <c r="N16" s="245">
        <f>(N$8&gt;=YEAR(PhaseIComplete))*'Assumptions-ResRental'!$D10</f>
        <v>0</v>
      </c>
    </row>
    <row r="17" spans="2:14" x14ac:dyDescent="0.2">
      <c r="B17" s="4" t="s">
        <v>13</v>
      </c>
      <c r="C17" s="12"/>
      <c r="D17" s="244">
        <f>(D$8&gt;=YEAR(PhaseIComplete))*'Assumptions-ResRental'!$D11</f>
        <v>0</v>
      </c>
      <c r="E17" s="244">
        <f>(E$8&gt;=YEAR(PhaseIComplete))*'Assumptions-ResRental'!$D11</f>
        <v>0</v>
      </c>
      <c r="F17" s="244">
        <f>(F$8&gt;=YEAR(PhaseIComplete))*'Assumptions-ResRental'!$D11</f>
        <v>0</v>
      </c>
      <c r="G17" s="244">
        <f>(G$8&gt;=YEAR(PhaseIComplete))*'Assumptions-ResRental'!$D11</f>
        <v>0</v>
      </c>
      <c r="H17" s="244">
        <f>(H$8&gt;=YEAR(PhaseIComplete))*'Assumptions-ResRental'!$D11</f>
        <v>0</v>
      </c>
      <c r="I17" s="244">
        <f>(I$8&gt;=YEAR(PhaseIComplete))*'Assumptions-ResRental'!$D11</f>
        <v>0</v>
      </c>
      <c r="J17" s="244">
        <f>(J$8&gt;=YEAR(PhaseIComplete))*'Assumptions-ResRental'!$D11</f>
        <v>0</v>
      </c>
      <c r="K17" s="244">
        <f>(K$8&gt;=YEAR(PhaseIComplete))*'Assumptions-ResRental'!$D11</f>
        <v>0</v>
      </c>
      <c r="L17" s="244">
        <f>(L$8&gt;=YEAR(PhaseIComplete))*'Assumptions-ResRental'!$D11</f>
        <v>0</v>
      </c>
      <c r="M17" s="244">
        <f>(M$8&gt;=YEAR(PhaseIComplete))*'Assumptions-ResRental'!$D11</f>
        <v>0</v>
      </c>
      <c r="N17" s="245">
        <f>(N$8&gt;=YEAR(PhaseIComplete))*'Assumptions-ResRental'!$D11</f>
        <v>0</v>
      </c>
    </row>
    <row r="18" spans="2:14" x14ac:dyDescent="0.2">
      <c r="B18" s="4" t="s">
        <v>12</v>
      </c>
      <c r="C18" s="12"/>
      <c r="D18" s="244">
        <f>(D$8&gt;=YEAR(PhaseIComplete))*'Assumptions-ResRental'!$D12</f>
        <v>0</v>
      </c>
      <c r="E18" s="244">
        <f>(E$8&gt;=YEAR(PhaseIComplete))*'Assumptions-ResRental'!$D12</f>
        <v>0</v>
      </c>
      <c r="F18" s="244">
        <f>(F$8&gt;=YEAR(PhaseIComplete))*'Assumptions-ResRental'!$D12</f>
        <v>0</v>
      </c>
      <c r="G18" s="244">
        <f>(G$8&gt;=YEAR(PhaseIComplete))*'Assumptions-ResRental'!$D12</f>
        <v>0</v>
      </c>
      <c r="H18" s="244">
        <f>(H$8&gt;=YEAR(PhaseIComplete))*'Assumptions-ResRental'!$D12</f>
        <v>0</v>
      </c>
      <c r="I18" s="244">
        <f>(I$8&gt;=YEAR(PhaseIComplete))*'Assumptions-ResRental'!$D12</f>
        <v>0</v>
      </c>
      <c r="J18" s="244">
        <f>(J$8&gt;=YEAR(PhaseIComplete))*'Assumptions-ResRental'!$D12</f>
        <v>0</v>
      </c>
      <c r="K18" s="244">
        <f>(K$8&gt;=YEAR(PhaseIComplete))*'Assumptions-ResRental'!$D12</f>
        <v>0</v>
      </c>
      <c r="L18" s="244">
        <f>(L$8&gt;=YEAR(PhaseIComplete))*'Assumptions-ResRental'!$D12</f>
        <v>0</v>
      </c>
      <c r="M18" s="244">
        <f>(M$8&gt;=YEAR(PhaseIComplete))*'Assumptions-ResRental'!$D12</f>
        <v>0</v>
      </c>
      <c r="N18" s="245">
        <f>(N$8&gt;=YEAR(PhaseIComplete))*'Assumptions-ResRental'!$D12</f>
        <v>0</v>
      </c>
    </row>
    <row r="19" spans="2:14" x14ac:dyDescent="0.2">
      <c r="B19" s="4"/>
      <c r="C19" s="12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5"/>
    </row>
    <row r="20" spans="2:14" x14ac:dyDescent="0.2">
      <c r="B20" s="53" t="s">
        <v>296</v>
      </c>
      <c r="C20" s="12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</row>
    <row r="21" spans="2:14" x14ac:dyDescent="0.2">
      <c r="B21" s="4" t="s">
        <v>15</v>
      </c>
      <c r="C21" s="12"/>
      <c r="D21" s="244">
        <f>(D$8&gt;=YEAR(PhaseIComplete))*'Assumptions-ResRental'!$D17</f>
        <v>0</v>
      </c>
      <c r="E21" s="244">
        <f>(E$8&gt;=YEAR(PhaseIComplete))*'Assumptions-ResRental'!$D17</f>
        <v>0</v>
      </c>
      <c r="F21" s="244">
        <f>(F$8&gt;=YEAR(PhaseIComplete))*'Assumptions-ResRental'!$D17</f>
        <v>0</v>
      </c>
      <c r="G21" s="244">
        <f>(G$8&gt;=YEAR(PhaseIComplete))*'Assumptions-ResRental'!$D17</f>
        <v>0</v>
      </c>
      <c r="H21" s="244">
        <f>(H$8&gt;=YEAR(PhaseIComplete))*'Assumptions-ResRental'!$D17</f>
        <v>0</v>
      </c>
      <c r="I21" s="244">
        <f>(I$8&gt;=YEAR(PhaseIComplete))*'Assumptions-ResRental'!$D17</f>
        <v>0</v>
      </c>
      <c r="J21" s="244">
        <f>(J$8&gt;=YEAR(PhaseIComplete))*'Assumptions-ResRental'!$D17</f>
        <v>0</v>
      </c>
      <c r="K21" s="244">
        <f>(K$8&gt;=YEAR(PhaseIComplete))*'Assumptions-ResRental'!$D17</f>
        <v>0</v>
      </c>
      <c r="L21" s="244">
        <f>(L$8&gt;=YEAR(PhaseIComplete))*'Assumptions-ResRental'!$D17</f>
        <v>0</v>
      </c>
      <c r="M21" s="244">
        <f>(M$8&gt;=YEAR(PhaseIComplete))*'Assumptions-ResRental'!$D17</f>
        <v>0</v>
      </c>
      <c r="N21" s="245">
        <f>(N$8&gt;=YEAR(PhaseIComplete))*'Assumptions-ResRental'!$D17</f>
        <v>0</v>
      </c>
    </row>
    <row r="22" spans="2:14" x14ac:dyDescent="0.2">
      <c r="B22" s="4" t="s">
        <v>14</v>
      </c>
      <c r="C22" s="12"/>
      <c r="D22" s="244">
        <f>(D$8&gt;=YEAR(PhaseIComplete))*'Assumptions-ResRental'!$D18</f>
        <v>0</v>
      </c>
      <c r="E22" s="244">
        <f>(E$8&gt;=YEAR(PhaseIComplete))*'Assumptions-ResRental'!$D18</f>
        <v>0</v>
      </c>
      <c r="F22" s="244">
        <f>(F$8&gt;=YEAR(PhaseIComplete))*'Assumptions-ResRental'!$D18</f>
        <v>0</v>
      </c>
      <c r="G22" s="244">
        <f>(G$8&gt;=YEAR(PhaseIComplete))*'Assumptions-ResRental'!$D18</f>
        <v>0</v>
      </c>
      <c r="H22" s="244">
        <f>(H$8&gt;=YEAR(PhaseIComplete))*'Assumptions-ResRental'!$D18</f>
        <v>0</v>
      </c>
      <c r="I22" s="244">
        <f>(I$8&gt;=YEAR(PhaseIComplete))*'Assumptions-ResRental'!$D18</f>
        <v>0</v>
      </c>
      <c r="J22" s="244">
        <f>(J$8&gt;=YEAR(PhaseIComplete))*'Assumptions-ResRental'!$D18</f>
        <v>0</v>
      </c>
      <c r="K22" s="244">
        <f>(K$8&gt;=YEAR(PhaseIComplete))*'Assumptions-ResRental'!$D18</f>
        <v>0</v>
      </c>
      <c r="L22" s="244">
        <f>(L$8&gt;=YEAR(PhaseIComplete))*'Assumptions-ResRental'!$D18</f>
        <v>0</v>
      </c>
      <c r="M22" s="244">
        <f>(M$8&gt;=YEAR(PhaseIComplete))*'Assumptions-ResRental'!$D18</f>
        <v>0</v>
      </c>
      <c r="N22" s="245">
        <f>(N$8&gt;=YEAR(PhaseIComplete))*'Assumptions-ResRental'!$D18</f>
        <v>0</v>
      </c>
    </row>
    <row r="23" spans="2:14" x14ac:dyDescent="0.2">
      <c r="B23" s="4" t="s">
        <v>13</v>
      </c>
      <c r="C23" s="12"/>
      <c r="D23" s="244">
        <f>(D$8&gt;=YEAR(PhaseIComplete))*'Assumptions-ResRental'!$D19</f>
        <v>0</v>
      </c>
      <c r="E23" s="244">
        <f>(E$8&gt;=YEAR(PhaseIComplete))*'Assumptions-ResRental'!$D19</f>
        <v>0</v>
      </c>
      <c r="F23" s="244">
        <f>(F$8&gt;=YEAR(PhaseIComplete))*'Assumptions-ResRental'!$D19</f>
        <v>0</v>
      </c>
      <c r="G23" s="244">
        <f>(G$8&gt;=YEAR(PhaseIComplete))*'Assumptions-ResRental'!$D19</f>
        <v>0</v>
      </c>
      <c r="H23" s="244">
        <f>(H$8&gt;=YEAR(PhaseIComplete))*'Assumptions-ResRental'!$D19</f>
        <v>0</v>
      </c>
      <c r="I23" s="244">
        <f>(I$8&gt;=YEAR(PhaseIComplete))*'Assumptions-ResRental'!$D19</f>
        <v>0</v>
      </c>
      <c r="J23" s="244">
        <f>(J$8&gt;=YEAR(PhaseIComplete))*'Assumptions-ResRental'!$D19</f>
        <v>0</v>
      </c>
      <c r="K23" s="244">
        <f>(K$8&gt;=YEAR(PhaseIComplete))*'Assumptions-ResRental'!$D19</f>
        <v>0</v>
      </c>
      <c r="L23" s="244">
        <f>(L$8&gt;=YEAR(PhaseIComplete))*'Assumptions-ResRental'!$D19</f>
        <v>0</v>
      </c>
      <c r="M23" s="244">
        <f>(M$8&gt;=YEAR(PhaseIComplete))*'Assumptions-ResRental'!$D19</f>
        <v>0</v>
      </c>
      <c r="N23" s="245">
        <f>(N$8&gt;=YEAR(PhaseIComplete))*'Assumptions-ResRental'!$D19</f>
        <v>0</v>
      </c>
    </row>
    <row r="24" spans="2:14" x14ac:dyDescent="0.2">
      <c r="B24" s="4" t="s">
        <v>12</v>
      </c>
      <c r="C24" s="12"/>
      <c r="D24" s="244">
        <f>(D$8&gt;=YEAR(PhaseIComplete))*'Assumptions-ResRental'!$D20</f>
        <v>0</v>
      </c>
      <c r="E24" s="244">
        <f>(E$8&gt;=YEAR(PhaseIComplete))*'Assumptions-ResRental'!$D20</f>
        <v>0</v>
      </c>
      <c r="F24" s="244">
        <f>(F$8&gt;=YEAR(PhaseIComplete))*'Assumptions-ResRental'!$D20</f>
        <v>0</v>
      </c>
      <c r="G24" s="244">
        <f>(G$8&gt;=YEAR(PhaseIComplete))*'Assumptions-ResRental'!$D20</f>
        <v>0</v>
      </c>
      <c r="H24" s="244">
        <f>(H$8&gt;=YEAR(PhaseIComplete))*'Assumptions-ResRental'!$D20</f>
        <v>0</v>
      </c>
      <c r="I24" s="244">
        <f>(I$8&gt;=YEAR(PhaseIComplete))*'Assumptions-ResRental'!$D20</f>
        <v>0</v>
      </c>
      <c r="J24" s="244">
        <f>(J$8&gt;=YEAR(PhaseIComplete))*'Assumptions-ResRental'!$D20</f>
        <v>0</v>
      </c>
      <c r="K24" s="244">
        <f>(K$8&gt;=YEAR(PhaseIComplete))*'Assumptions-ResRental'!$D20</f>
        <v>0</v>
      </c>
      <c r="L24" s="244">
        <f>(L$8&gt;=YEAR(PhaseIComplete))*'Assumptions-ResRental'!$D20</f>
        <v>0</v>
      </c>
      <c r="M24" s="244">
        <f>(M$8&gt;=YEAR(PhaseIComplete))*'Assumptions-ResRental'!$D20</f>
        <v>0</v>
      </c>
      <c r="N24" s="245">
        <f>(N$8&gt;=YEAR(PhaseIComplete))*'Assumptions-ResRental'!$D20</f>
        <v>0</v>
      </c>
    </row>
    <row r="25" spans="2:14" x14ac:dyDescent="0.2"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2:14" x14ac:dyDescent="0.2">
      <c r="B26" s="53" t="s">
        <v>307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2:14" x14ac:dyDescent="0.2">
      <c r="B27" s="4" t="s">
        <v>299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2:14" x14ac:dyDescent="0.2">
      <c r="B28" s="246" t="s">
        <v>252</v>
      </c>
      <c r="C28" s="12"/>
      <c r="D28" s="242">
        <f>SUMPRODUCT(D15:D18,'Assumptions-ResRental'!$L$8:$L$11)*(1+'Assumptions-Overall'!$C$35)^('CashFlow-ResRental'!D$7-1)</f>
        <v>0</v>
      </c>
      <c r="E28" s="242">
        <f>SUMPRODUCT(E15:E18,'Assumptions-ResRental'!$L$8:$L$11)*(1+'Assumptions-Overall'!$C$35)^('CashFlow-ResRental'!E$7-1)</f>
        <v>0</v>
      </c>
      <c r="F28" s="242">
        <f>SUMPRODUCT(F15:F18,'Assumptions-ResRental'!$L$8:$L$11)*(1+'Assumptions-Overall'!$C$35)^('CashFlow-ResRental'!F$7-1)</f>
        <v>0</v>
      </c>
      <c r="G28" s="242">
        <f>SUMPRODUCT(G15:G18,'Assumptions-ResRental'!$L$8:$L$11)*(1+'Assumptions-Overall'!$C$35)^('CashFlow-ResRental'!G$7-1)</f>
        <v>0</v>
      </c>
      <c r="H28" s="242">
        <f>SUMPRODUCT(H15:H18,'Assumptions-ResRental'!$L$8:$L$11)*(1+'Assumptions-Overall'!$C$35)^('CashFlow-ResRental'!H$7-1)</f>
        <v>0</v>
      </c>
      <c r="I28" s="242">
        <f>SUMPRODUCT(I15:I18,'Assumptions-ResRental'!$L$8:$L$11)*(1+'Assumptions-Overall'!$C$35)^('CashFlow-ResRental'!I$7-1)</f>
        <v>0</v>
      </c>
      <c r="J28" s="242">
        <f>SUMPRODUCT(J15:J18,'Assumptions-ResRental'!$L$8:$L$11)*(1+'Assumptions-Overall'!$C$35)^('CashFlow-ResRental'!J$7-1)</f>
        <v>0</v>
      </c>
      <c r="K28" s="242">
        <f>SUMPRODUCT(K15:K18,'Assumptions-ResRental'!$L$8:$L$11)*(1+'Assumptions-Overall'!$C$35)^('CashFlow-ResRental'!K$7-1)</f>
        <v>0</v>
      </c>
      <c r="L28" s="242">
        <f>SUMPRODUCT(L15:L18,'Assumptions-ResRental'!$L$8:$L$11)*(1+'Assumptions-Overall'!$C$35)^('CashFlow-ResRental'!L$7-1)</f>
        <v>0</v>
      </c>
      <c r="M28" s="242">
        <f>SUMPRODUCT(M15:M18,'Assumptions-ResRental'!$L$8:$L$11)*(1+'Assumptions-Overall'!$C$35)^('CashFlow-ResRental'!M$7-1)</f>
        <v>0</v>
      </c>
      <c r="N28" s="247">
        <f>SUMPRODUCT(N15:N18,'Assumptions-ResRental'!$L$8:$L$11)*(1+'Assumptions-Overall'!$C$35)^('CashFlow-ResRental'!N$7-1)</f>
        <v>0</v>
      </c>
    </row>
    <row r="29" spans="2:14" x14ac:dyDescent="0.2">
      <c r="B29" s="246" t="s">
        <v>253</v>
      </c>
      <c r="C29" s="12"/>
      <c r="D29" s="240">
        <f>SUMPRODUCT(D21:D24,'Assumptions-ResRental'!$R$8:$R$11)*(1+'Assumptions-Overall'!$C$36)^('CashFlow-ResRental'!D$7-1)</f>
        <v>0</v>
      </c>
      <c r="E29" s="240">
        <f>SUMPRODUCT(E21:E24,'Assumptions-ResRental'!$R$8:$R$11)*(1+'Assumptions-Overall'!$C$36)^('CashFlow-ResRental'!E$7-1)</f>
        <v>0</v>
      </c>
      <c r="F29" s="240">
        <f>SUMPRODUCT(F21:F24,'Assumptions-ResRental'!$R$8:$R$11)*(1+'Assumptions-Overall'!$C$36)^('CashFlow-ResRental'!F$7-1)</f>
        <v>0</v>
      </c>
      <c r="G29" s="240">
        <f>SUMPRODUCT(G21:G24,'Assumptions-ResRental'!$R$8:$R$11)*(1+'Assumptions-Overall'!$C$36)^('CashFlow-ResRental'!G$7-1)</f>
        <v>0</v>
      </c>
      <c r="H29" s="240">
        <f>SUMPRODUCT(H21:H24,'Assumptions-ResRental'!$R$8:$R$11)*(1+'Assumptions-Overall'!$C$36)^('CashFlow-ResRental'!H$7-1)</f>
        <v>0</v>
      </c>
      <c r="I29" s="240">
        <f>SUMPRODUCT(I21:I24,'Assumptions-ResRental'!$R$8:$R$11)*(1+'Assumptions-Overall'!$C$36)^('CashFlow-ResRental'!I$7-1)</f>
        <v>0</v>
      </c>
      <c r="J29" s="240">
        <f>SUMPRODUCT(J21:J24,'Assumptions-ResRental'!$R$8:$R$11)*(1+'Assumptions-Overall'!$C$36)^('CashFlow-ResRental'!J$7-1)</f>
        <v>0</v>
      </c>
      <c r="K29" s="240">
        <f>SUMPRODUCT(K21:K24,'Assumptions-ResRental'!$R$8:$R$11)*(1+'Assumptions-Overall'!$C$36)^('CashFlow-ResRental'!K$7-1)</f>
        <v>0</v>
      </c>
      <c r="L29" s="240">
        <f>SUMPRODUCT(L21:L24,'Assumptions-ResRental'!$R$8:$R$11)*(1+'Assumptions-Overall'!$C$36)^('CashFlow-ResRental'!L$7-1)</f>
        <v>0</v>
      </c>
      <c r="M29" s="240">
        <f>SUMPRODUCT(M21:M24,'Assumptions-ResRental'!$R$8:$R$11)*(1+'Assumptions-Overall'!$C$36)^('CashFlow-ResRental'!M$7-1)</f>
        <v>0</v>
      </c>
      <c r="N29" s="248">
        <f>SUMPRODUCT(N21:N24,'Assumptions-ResRental'!$R$8:$R$11)*(1+'Assumptions-Overall'!$C$36)^('CashFlow-ResRental'!N$7-1)</f>
        <v>0</v>
      </c>
    </row>
    <row r="30" spans="2:14" x14ac:dyDescent="0.2">
      <c r="B30" s="4" t="s">
        <v>300</v>
      </c>
      <c r="C30" s="12"/>
      <c r="D30" s="242">
        <f>SUM(D28:D29)</f>
        <v>0</v>
      </c>
      <c r="E30" s="242">
        <f t="shared" ref="E30:N30" si="3">SUM(E28:E29)</f>
        <v>0</v>
      </c>
      <c r="F30" s="242">
        <f t="shared" si="3"/>
        <v>0</v>
      </c>
      <c r="G30" s="242">
        <f t="shared" si="3"/>
        <v>0</v>
      </c>
      <c r="H30" s="242">
        <f t="shared" si="3"/>
        <v>0</v>
      </c>
      <c r="I30" s="242">
        <f t="shared" si="3"/>
        <v>0</v>
      </c>
      <c r="J30" s="242">
        <f t="shared" si="3"/>
        <v>0</v>
      </c>
      <c r="K30" s="242">
        <f t="shared" si="3"/>
        <v>0</v>
      </c>
      <c r="L30" s="242">
        <f t="shared" si="3"/>
        <v>0</v>
      </c>
      <c r="M30" s="242">
        <f t="shared" si="3"/>
        <v>0</v>
      </c>
      <c r="N30" s="247">
        <f t="shared" si="3"/>
        <v>0</v>
      </c>
    </row>
    <row r="31" spans="2:14" x14ac:dyDescent="0.2">
      <c r="B31" s="4"/>
      <c r="C31" s="1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7"/>
    </row>
    <row r="32" spans="2:14" x14ac:dyDescent="0.2">
      <c r="B32" s="4" t="s">
        <v>301</v>
      </c>
      <c r="C32" s="1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7"/>
    </row>
    <row r="33" spans="2:14" x14ac:dyDescent="0.2">
      <c r="B33" s="246" t="s">
        <v>302</v>
      </c>
      <c r="C33" s="12"/>
      <c r="D33" s="242">
        <f>-D28*'Assumptions-ResRental'!$I$15</f>
        <v>0</v>
      </c>
      <c r="E33" s="242">
        <f>-E28*'Assumptions-ResRental'!$I$15</f>
        <v>0</v>
      </c>
      <c r="F33" s="242">
        <f>-F28*'Assumptions-ResRental'!$I$15</f>
        <v>0</v>
      </c>
      <c r="G33" s="242">
        <f>-G28*'Assumptions-ResRental'!$I$15</f>
        <v>0</v>
      </c>
      <c r="H33" s="242">
        <f>-H28*'Assumptions-ResRental'!$I$15</f>
        <v>0</v>
      </c>
      <c r="I33" s="242">
        <f>-I28*'Assumptions-ResRental'!$I$15</f>
        <v>0</v>
      </c>
      <c r="J33" s="242">
        <f>-J28*'Assumptions-ResRental'!$I$15</f>
        <v>0</v>
      </c>
      <c r="K33" s="242">
        <f>-K28*'Assumptions-ResRental'!$I$15</f>
        <v>0</v>
      </c>
      <c r="L33" s="242">
        <f>-L28*'Assumptions-ResRental'!$I$15</f>
        <v>0</v>
      </c>
      <c r="M33" s="242">
        <f>-M28*'Assumptions-ResRental'!$I$15</f>
        <v>0</v>
      </c>
      <c r="N33" s="247">
        <f>-N28*'Assumptions-ResRental'!$I$15</f>
        <v>0</v>
      </c>
    </row>
    <row r="34" spans="2:14" x14ac:dyDescent="0.2">
      <c r="B34" s="246" t="s">
        <v>303</v>
      </c>
      <c r="C34" s="12"/>
      <c r="D34" s="242">
        <f>-D29*'Assumptions-ResRental'!$I$16</f>
        <v>0</v>
      </c>
      <c r="E34" s="242">
        <f>-E29*'Assumptions-ResRental'!$I$16</f>
        <v>0</v>
      </c>
      <c r="F34" s="242">
        <f>-F29*'Assumptions-ResRental'!$I$16</f>
        <v>0</v>
      </c>
      <c r="G34" s="242">
        <f>-G29*'Assumptions-ResRental'!$I$16</f>
        <v>0</v>
      </c>
      <c r="H34" s="242">
        <f>-H29*'Assumptions-ResRental'!$I$16</f>
        <v>0</v>
      </c>
      <c r="I34" s="242">
        <f>-I29*'Assumptions-ResRental'!$I$16</f>
        <v>0</v>
      </c>
      <c r="J34" s="242">
        <f>-J29*'Assumptions-ResRental'!$I$16</f>
        <v>0</v>
      </c>
      <c r="K34" s="242">
        <f>-K29*'Assumptions-ResRental'!$I$16</f>
        <v>0</v>
      </c>
      <c r="L34" s="242">
        <f>-L29*'Assumptions-ResRental'!$I$16</f>
        <v>0</v>
      </c>
      <c r="M34" s="242">
        <f>-M29*'Assumptions-ResRental'!$I$16</f>
        <v>0</v>
      </c>
      <c r="N34" s="247">
        <f>-N29*'Assumptions-ResRental'!$I$16</f>
        <v>0</v>
      </c>
    </row>
    <row r="35" spans="2:14" x14ac:dyDescent="0.2">
      <c r="B35" s="246" t="s">
        <v>304</v>
      </c>
      <c r="C35" s="12"/>
      <c r="D35" s="240">
        <f>-(C30=0)*(D30*'Assumptions-ResRental'!$I$20+SUM('CashFlow-ResRental'!D33:D34))</f>
        <v>0</v>
      </c>
      <c r="E35" s="240">
        <f>-(D30=0)*(E30*'Assumptions-ResRental'!$I$20+SUM('CashFlow-ResRental'!E33:E34))</f>
        <v>0</v>
      </c>
      <c r="F35" s="240">
        <f>-(E30=0)*(F30*'Assumptions-ResRental'!$I$20+SUM('CashFlow-ResRental'!F33:F34))</f>
        <v>0</v>
      </c>
      <c r="G35" s="240">
        <f>-(F30=0)*(G30*'Assumptions-ResRental'!$I$20+SUM('CashFlow-ResRental'!G33:G34))</f>
        <v>0</v>
      </c>
      <c r="H35" s="240">
        <f>-(G30=0)*(H30*'Assumptions-ResRental'!$I$20+SUM('CashFlow-ResRental'!H33:H34))</f>
        <v>0</v>
      </c>
      <c r="I35" s="240">
        <f>-(H30=0)*(I30*'Assumptions-ResRental'!$I$20+SUM('CashFlow-ResRental'!I33:I34))</f>
        <v>0</v>
      </c>
      <c r="J35" s="240">
        <f>-(I30=0)*(J30*'Assumptions-ResRental'!$I$20+SUM('CashFlow-ResRental'!J33:J34))</f>
        <v>0</v>
      </c>
      <c r="K35" s="240">
        <f>-(J30=0)*(K30*'Assumptions-ResRental'!$I$20+SUM('CashFlow-ResRental'!K33:K34))</f>
        <v>0</v>
      </c>
      <c r="L35" s="240">
        <f>-(K30=0)*(L30*'Assumptions-ResRental'!$I$20+SUM('CashFlow-ResRental'!L33:L34))</f>
        <v>0</v>
      </c>
      <c r="M35" s="240">
        <f>-(L30=0)*(M30*'Assumptions-ResRental'!$I$20+SUM('CashFlow-ResRental'!M33:M34))</f>
        <v>0</v>
      </c>
      <c r="N35" s="248">
        <f>-(M30=0)*(N30*'Assumptions-ResRental'!$I$20+SUM('CashFlow-ResRental'!N33:N34))</f>
        <v>0</v>
      </c>
    </row>
    <row r="36" spans="2:14" x14ac:dyDescent="0.2">
      <c r="B36" s="4" t="s">
        <v>305</v>
      </c>
      <c r="C36" s="12"/>
      <c r="D36" s="242">
        <f>SUM(D33:D35)</f>
        <v>0</v>
      </c>
      <c r="E36" s="242">
        <f t="shared" ref="E36:N36" si="4">SUM(E33:E35)</f>
        <v>0</v>
      </c>
      <c r="F36" s="242">
        <f t="shared" si="4"/>
        <v>0</v>
      </c>
      <c r="G36" s="242">
        <f t="shared" si="4"/>
        <v>0</v>
      </c>
      <c r="H36" s="242">
        <f t="shared" si="4"/>
        <v>0</v>
      </c>
      <c r="I36" s="242">
        <f t="shared" si="4"/>
        <v>0</v>
      </c>
      <c r="J36" s="242">
        <f t="shared" si="4"/>
        <v>0</v>
      </c>
      <c r="K36" s="242">
        <f t="shared" si="4"/>
        <v>0</v>
      </c>
      <c r="L36" s="242">
        <f t="shared" si="4"/>
        <v>0</v>
      </c>
      <c r="M36" s="242">
        <f t="shared" si="4"/>
        <v>0</v>
      </c>
      <c r="N36" s="247">
        <f t="shared" si="4"/>
        <v>0</v>
      </c>
    </row>
    <row r="37" spans="2:14" x14ac:dyDescent="0.2">
      <c r="B37" s="4"/>
      <c r="C37" s="1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7"/>
    </row>
    <row r="38" spans="2:14" x14ac:dyDescent="0.2">
      <c r="B38" s="4" t="s">
        <v>306</v>
      </c>
      <c r="C38" s="12"/>
      <c r="D38" s="241">
        <f>D30+D36</f>
        <v>0</v>
      </c>
      <c r="E38" s="241">
        <f t="shared" ref="E38:N38" si="5">E30+E36</f>
        <v>0</v>
      </c>
      <c r="F38" s="241">
        <f t="shared" si="5"/>
        <v>0</v>
      </c>
      <c r="G38" s="241">
        <f t="shared" si="5"/>
        <v>0</v>
      </c>
      <c r="H38" s="241">
        <f t="shared" si="5"/>
        <v>0</v>
      </c>
      <c r="I38" s="241">
        <f t="shared" si="5"/>
        <v>0</v>
      </c>
      <c r="J38" s="241">
        <f t="shared" si="5"/>
        <v>0</v>
      </c>
      <c r="K38" s="241">
        <f t="shared" si="5"/>
        <v>0</v>
      </c>
      <c r="L38" s="241">
        <f t="shared" si="5"/>
        <v>0</v>
      </c>
      <c r="M38" s="241">
        <f t="shared" si="5"/>
        <v>0</v>
      </c>
      <c r="N38" s="249">
        <f t="shared" si="5"/>
        <v>0</v>
      </c>
    </row>
    <row r="39" spans="2:14" x14ac:dyDescent="0.2">
      <c r="B39" s="4"/>
      <c r="C39" s="1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7"/>
    </row>
    <row r="40" spans="2:14" x14ac:dyDescent="0.2">
      <c r="B40" s="4" t="s">
        <v>308</v>
      </c>
      <c r="C40" s="12"/>
      <c r="D40" s="242">
        <f>-D38*'Assumptions-ResRental'!$I$20</f>
        <v>0</v>
      </c>
      <c r="E40" s="242">
        <f>-E38*'Assumptions-ResRental'!$I$20</f>
        <v>0</v>
      </c>
      <c r="F40" s="242">
        <f>-F38*'Assumptions-ResRental'!$I$20</f>
        <v>0</v>
      </c>
      <c r="G40" s="242">
        <f>-G38*'Assumptions-ResRental'!$I$20</f>
        <v>0</v>
      </c>
      <c r="H40" s="242">
        <f>-H38*'Assumptions-ResRental'!$I$20</f>
        <v>0</v>
      </c>
      <c r="I40" s="242">
        <f>-I38*'Assumptions-ResRental'!$I$20</f>
        <v>0</v>
      </c>
      <c r="J40" s="242">
        <f>-J38*'Assumptions-ResRental'!$I$20</f>
        <v>0</v>
      </c>
      <c r="K40" s="242">
        <f>-K38*'Assumptions-ResRental'!$I$20</f>
        <v>0</v>
      </c>
      <c r="L40" s="242">
        <f>-L38*'Assumptions-ResRental'!$I$20</f>
        <v>0</v>
      </c>
      <c r="M40" s="242">
        <f>-M38*'Assumptions-ResRental'!$I$20</f>
        <v>0</v>
      </c>
      <c r="N40" s="247">
        <f>-N38*'Assumptions-ResRental'!$I$20</f>
        <v>0</v>
      </c>
    </row>
    <row r="41" spans="2:14" x14ac:dyDescent="0.2">
      <c r="B41" s="4"/>
      <c r="C41" s="1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7"/>
    </row>
    <row r="42" spans="2:14" x14ac:dyDescent="0.2">
      <c r="B42" s="4" t="s">
        <v>310</v>
      </c>
      <c r="C42" s="12"/>
      <c r="D42" s="241">
        <f>SUM(D38:D40)</f>
        <v>0</v>
      </c>
      <c r="E42" s="241">
        <f t="shared" ref="E42:N42" si="6">SUM(E38:E40)</f>
        <v>0</v>
      </c>
      <c r="F42" s="241">
        <f t="shared" si="6"/>
        <v>0</v>
      </c>
      <c r="G42" s="241">
        <f t="shared" si="6"/>
        <v>0</v>
      </c>
      <c r="H42" s="241">
        <f t="shared" si="6"/>
        <v>0</v>
      </c>
      <c r="I42" s="241">
        <f t="shared" si="6"/>
        <v>0</v>
      </c>
      <c r="J42" s="241">
        <f t="shared" si="6"/>
        <v>0</v>
      </c>
      <c r="K42" s="241">
        <f t="shared" si="6"/>
        <v>0</v>
      </c>
      <c r="L42" s="241">
        <f t="shared" si="6"/>
        <v>0</v>
      </c>
      <c r="M42" s="241">
        <f t="shared" si="6"/>
        <v>0</v>
      </c>
      <c r="N42" s="249">
        <f t="shared" si="6"/>
        <v>0</v>
      </c>
    </row>
    <row r="43" spans="2:14" x14ac:dyDescent="0.2">
      <c r="B43" s="4"/>
      <c r="C43" s="1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55"/>
    </row>
    <row r="44" spans="2:14" x14ac:dyDescent="0.2">
      <c r="B44" s="4" t="s">
        <v>283</v>
      </c>
      <c r="C44" s="12"/>
      <c r="D44" s="242">
        <f>-SUM(D15:D24)*'Assumptions-ResRental'!$I$22*(1+'Assumptions-Overall'!$C$40)^('CashFlow-ResRental'!D$7-1)</f>
        <v>0</v>
      </c>
      <c r="E44" s="242">
        <f>-SUM(E15:E24)*'Assumptions-ResRental'!$I$22*(1+'Assumptions-Overall'!$C$40)^('CashFlow-ResRental'!E$7-1)</f>
        <v>0</v>
      </c>
      <c r="F44" s="242">
        <f>-SUM(F15:F24)*'Assumptions-ResRental'!$I$22*(1+'Assumptions-Overall'!$C$40)^('CashFlow-ResRental'!F$7-1)</f>
        <v>0</v>
      </c>
      <c r="G44" s="242">
        <f>-SUM(G15:G24)*'Assumptions-ResRental'!$I$22*(1+'Assumptions-Overall'!$C$40)^('CashFlow-ResRental'!G$7-1)</f>
        <v>0</v>
      </c>
      <c r="H44" s="242">
        <f>-SUM(H15:H24)*'Assumptions-ResRental'!$I$22*(1+'Assumptions-Overall'!$C$40)^('CashFlow-ResRental'!H$7-1)</f>
        <v>0</v>
      </c>
      <c r="I44" s="242">
        <f>-SUM(I15:I24)*'Assumptions-ResRental'!$I$22*(1+'Assumptions-Overall'!$C$40)^('CashFlow-ResRental'!I$7-1)</f>
        <v>0</v>
      </c>
      <c r="J44" s="242">
        <f>-SUM(J15:J24)*'Assumptions-ResRental'!$I$22*(1+'Assumptions-Overall'!$C$40)^('CashFlow-ResRental'!J$7-1)</f>
        <v>0</v>
      </c>
      <c r="K44" s="242">
        <f>-SUM(K15:K24)*'Assumptions-ResRental'!$I$22*(1+'Assumptions-Overall'!$C$40)^('CashFlow-ResRental'!K$7-1)</f>
        <v>0</v>
      </c>
      <c r="L44" s="242">
        <f>-SUM(L15:L24)*'Assumptions-ResRental'!$I$22*(1+'Assumptions-Overall'!$C$40)^('CashFlow-ResRental'!L$7-1)</f>
        <v>0</v>
      </c>
      <c r="M44" s="242">
        <f>-SUM(M15:M24)*'Assumptions-ResRental'!$I$22*(1+'Assumptions-Overall'!$C$40)^('CashFlow-ResRental'!M$7-1)</f>
        <v>0</v>
      </c>
      <c r="N44" s="247"/>
    </row>
    <row r="45" spans="2:14" x14ac:dyDescent="0.2">
      <c r="B45" s="4"/>
      <c r="C45" s="1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7"/>
    </row>
    <row r="46" spans="2:14" x14ac:dyDescent="0.2">
      <c r="B46" s="4" t="s">
        <v>309</v>
      </c>
      <c r="C46" s="12"/>
      <c r="D46" s="241">
        <f>SUM(D42:D44)</f>
        <v>0</v>
      </c>
      <c r="E46" s="241">
        <f t="shared" ref="E46:M46" si="7">SUM(E42:E44)</f>
        <v>0</v>
      </c>
      <c r="F46" s="241">
        <f t="shared" si="7"/>
        <v>0</v>
      </c>
      <c r="G46" s="241">
        <f t="shared" si="7"/>
        <v>0</v>
      </c>
      <c r="H46" s="241">
        <f t="shared" si="7"/>
        <v>0</v>
      </c>
      <c r="I46" s="241">
        <f t="shared" si="7"/>
        <v>0</v>
      </c>
      <c r="J46" s="241">
        <f t="shared" si="7"/>
        <v>0</v>
      </c>
      <c r="K46" s="241">
        <f t="shared" si="7"/>
        <v>0</v>
      </c>
      <c r="L46" s="241">
        <f t="shared" si="7"/>
        <v>0</v>
      </c>
      <c r="M46" s="241">
        <f t="shared" si="7"/>
        <v>0</v>
      </c>
      <c r="N46" s="247"/>
    </row>
    <row r="47" spans="2:14" x14ac:dyDescent="0.2">
      <c r="B47" s="4"/>
      <c r="C47" s="1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7"/>
    </row>
    <row r="48" spans="2:14" x14ac:dyDescent="0.2">
      <c r="B48" s="53" t="s">
        <v>209</v>
      </c>
      <c r="C48" s="1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7"/>
    </row>
    <row r="49" spans="2:14" x14ac:dyDescent="0.2">
      <c r="B49" s="4" t="s">
        <v>311</v>
      </c>
      <c r="C49" s="12"/>
      <c r="D49" s="242">
        <f>-(AND(D$8&gt;=YEAR(PhaseIConBegin),D$8&lt;=YEAR(PhaseIConEnd)))*SUM($D12:$N12)*('Assumptions-Overall'!$M$10+'Assumptions-Overall'!$M$12)*(1+'Assumptions-Overall'!$C$41)^('CashFlow-ResRental'!D$7-1)/(YEAR(PhaseIConEnd)-YEAR(PhaseIConBegin)+1)</f>
        <v>0</v>
      </c>
      <c r="E49" s="242">
        <f>-(AND(E$8&gt;=YEAR(PhaseIConBegin),E$8&lt;=YEAR(PhaseIConEnd)))*SUM($D12:$N12)*('Assumptions-Overall'!$M$10+'Assumptions-Overall'!$M$12)*(1+'Assumptions-Overall'!$C$41)^('CashFlow-ResRental'!E$7-1)/(YEAR(PhaseIConEnd)-YEAR(PhaseIConBegin)+1)</f>
        <v>0</v>
      </c>
      <c r="F49" s="242">
        <f>-(AND(F$8&gt;=YEAR(PhaseIConBegin),F$8&lt;=YEAR(PhaseIConEnd)))*SUM($D12:$N12)*('Assumptions-Overall'!$M$10+'Assumptions-Overall'!$M$12)*(1+'Assumptions-Overall'!$C$41)^('CashFlow-ResRental'!F$7-1)/(YEAR(PhaseIConEnd)-YEAR(PhaseIConBegin)+1)</f>
        <v>0</v>
      </c>
      <c r="G49" s="242">
        <f>-(AND(G$8&gt;=YEAR(PhaseIConBegin),G$8&lt;=YEAR(PhaseIConEnd)))*SUM($D12:$N12)*('Assumptions-Overall'!$M$10+'Assumptions-Overall'!$M$12)*(1+'Assumptions-Overall'!$C$41)^('CashFlow-ResRental'!G$7-1)/(YEAR(PhaseIConEnd)-YEAR(PhaseIConBegin)+1)</f>
        <v>0</v>
      </c>
      <c r="H49" s="242">
        <f>-(AND(H$8&gt;=YEAR(PhaseIConBegin),H$8&lt;=YEAR(PhaseIConEnd)))*SUM($D12:$N12)*('Assumptions-Overall'!$M$10+'Assumptions-Overall'!$M$12)*(1+'Assumptions-Overall'!$C$41)^('CashFlow-ResRental'!H$7-1)/(YEAR(PhaseIConEnd)-YEAR(PhaseIConBegin)+1)</f>
        <v>0</v>
      </c>
      <c r="I49" s="242">
        <f>-(AND(I$8&gt;=YEAR(PhaseIConBegin),I$8&lt;=YEAR(PhaseIConEnd)))*SUM($D12:$N12)*('Assumptions-Overall'!$M$10+'Assumptions-Overall'!$M$12)*(1+'Assumptions-Overall'!$C$41)^('CashFlow-ResRental'!I$7-1)/(YEAR(PhaseIConEnd)-YEAR(PhaseIConBegin)+1)</f>
        <v>0</v>
      </c>
      <c r="J49" s="242">
        <f>-(AND(J$8&gt;=YEAR(PhaseIConBegin),J$8&lt;=YEAR(PhaseIConEnd)))*SUM($D12:$N12)*('Assumptions-Overall'!$M$10+'Assumptions-Overall'!$M$12)*(1+'Assumptions-Overall'!$C$41)^('CashFlow-ResRental'!J$7-1)/(YEAR(PhaseIConEnd)-YEAR(PhaseIConBegin)+1)</f>
        <v>0</v>
      </c>
      <c r="K49" s="242">
        <f>-(AND(K$8&gt;=YEAR(PhaseIConBegin),K$8&lt;=YEAR(PhaseIConEnd)))*SUM($D12:$N12)*('Assumptions-Overall'!$M$10+'Assumptions-Overall'!$M$12)*(1+'Assumptions-Overall'!$C$41)^('CashFlow-ResRental'!K$7-1)/(YEAR(PhaseIConEnd)-YEAR(PhaseIConBegin)+1)</f>
        <v>0</v>
      </c>
      <c r="L49" s="242">
        <f>-(AND(L$8&gt;=YEAR(PhaseIConBegin),L$8&lt;=YEAR(PhaseIConEnd)))*SUM($D12:$N12)*('Assumptions-Overall'!$M$10+'Assumptions-Overall'!$M$12)*(1+'Assumptions-Overall'!$C$41)^('CashFlow-ResRental'!L$7-1)/(YEAR(PhaseIConEnd)-YEAR(PhaseIConBegin)+1)</f>
        <v>0</v>
      </c>
      <c r="M49" s="242">
        <f>-(AND(M$8&gt;=YEAR(PhaseIConBegin),M$8&lt;=YEAR(PhaseIConEnd)))*SUM($D12:$N12)*('Assumptions-Overall'!$M$10+'Assumptions-Overall'!$M$12)*(1+'Assumptions-Overall'!$C$41)^('CashFlow-ResRental'!M$7-1)/(YEAR(PhaseIConEnd)-YEAR(PhaseIConBegin)+1)</f>
        <v>0</v>
      </c>
      <c r="N49" s="247"/>
    </row>
    <row r="50" spans="2:14" x14ac:dyDescent="0.2">
      <c r="B50" s="4" t="s">
        <v>312</v>
      </c>
      <c r="C50" s="12"/>
      <c r="D50" s="242">
        <f>(AND(D$8&gt;=YEAR(PhaseIPreconBegin),D$8&lt;=YEAR(PhaseIConEnd)))*SUM($D49:$N49)*'Assumptions-Overall'!$H$43/(YEAR(PhaseIConEnd)-YEAR(PhaseIPreconBegin)+1)</f>
        <v>0</v>
      </c>
      <c r="E50" s="242">
        <f>(AND(E$8&gt;=YEAR(PhaseIPreconBegin),E$8&lt;=YEAR(PhaseIConEnd)))*SUM($D49:$N49)*'Assumptions-Overall'!$H$43/(YEAR(PhaseIConEnd)-YEAR(PhaseIPreconBegin)+1)</f>
        <v>0</v>
      </c>
      <c r="F50" s="242">
        <f>(AND(F$8&gt;=YEAR(PhaseIPreconBegin),F$8&lt;=YEAR(PhaseIConEnd)))*SUM($D49:$N49)*'Assumptions-Overall'!$H$43/(YEAR(PhaseIConEnd)-YEAR(PhaseIPreconBegin)+1)</f>
        <v>0</v>
      </c>
      <c r="G50" s="242">
        <f>(AND(G$8&gt;=YEAR(PhaseIPreconBegin),G$8&lt;=YEAR(PhaseIConEnd)))*SUM($D49:$N49)*'Assumptions-Overall'!$H$43/(YEAR(PhaseIConEnd)-YEAR(PhaseIPreconBegin)+1)</f>
        <v>0</v>
      </c>
      <c r="H50" s="242">
        <f>(AND(H$8&gt;=YEAR(PhaseIPreconBegin),H$8&lt;=YEAR(PhaseIConEnd)))*SUM($D49:$N49)*'Assumptions-Overall'!$H$43/(YEAR(PhaseIConEnd)-YEAR(PhaseIPreconBegin)+1)</f>
        <v>0</v>
      </c>
      <c r="I50" s="242">
        <f>(AND(I$8&gt;=YEAR(PhaseIPreconBegin),I$8&lt;=YEAR(PhaseIConEnd)))*SUM($D49:$N49)*'Assumptions-Overall'!$H$43/(YEAR(PhaseIConEnd)-YEAR(PhaseIPreconBegin)+1)</f>
        <v>0</v>
      </c>
      <c r="J50" s="242">
        <f>(AND(J$8&gt;=YEAR(PhaseIPreconBegin),J$8&lt;=YEAR(PhaseIConEnd)))*SUM($D49:$N49)*'Assumptions-Overall'!$H$43/(YEAR(PhaseIConEnd)-YEAR(PhaseIPreconBegin)+1)</f>
        <v>0</v>
      </c>
      <c r="K50" s="242">
        <f>(AND(K$8&gt;=YEAR(PhaseIPreconBegin),K$8&lt;=YEAR(PhaseIConEnd)))*SUM($D49:$N49)*'Assumptions-Overall'!$H$43/(YEAR(PhaseIConEnd)-YEAR(PhaseIPreconBegin)+1)</f>
        <v>0</v>
      </c>
      <c r="L50" s="242">
        <f>(AND(L$8&gt;=YEAR(PhaseIPreconBegin),L$8&lt;=YEAR(PhaseIConEnd)))*SUM($D49:$N49)*'Assumptions-Overall'!$H$43/(YEAR(PhaseIConEnd)-YEAR(PhaseIPreconBegin)+1)</f>
        <v>0</v>
      </c>
      <c r="M50" s="242">
        <f>(AND(M$8&gt;=YEAR(PhaseIPreconBegin),M$8&lt;=YEAR(PhaseIConEnd)))*SUM($D49:$N49)*'Assumptions-Overall'!$H$43/(YEAR(PhaseIConEnd)-YEAR(PhaseIPreconBegin)+1)</f>
        <v>0</v>
      </c>
      <c r="N50" s="247"/>
    </row>
    <row r="51" spans="2:14" x14ac:dyDescent="0.2">
      <c r="B51" s="4" t="s">
        <v>183</v>
      </c>
      <c r="C51" s="12"/>
      <c r="D51" s="242">
        <f>(AND(D$8&gt;=YEAR(PhaseIPreconBegin),D$8&lt;=YEAR(PhaseIConEnd)))*SUM($D49:$N49)*'Assumptions-Overall'!$H$44/(YEAR(PhaseIConEnd)-YEAR(PhaseIPreconBegin)+1)</f>
        <v>0</v>
      </c>
      <c r="E51" s="242">
        <f>(AND(E$8&gt;=YEAR(PhaseIPreconBegin),E$8&lt;=YEAR(PhaseIConEnd)))*SUM($D49:$N49)*'Assumptions-Overall'!$H$44/(YEAR(PhaseIConEnd)-YEAR(PhaseIPreconBegin)+1)</f>
        <v>0</v>
      </c>
      <c r="F51" s="242">
        <f>(AND(F$8&gt;=YEAR(PhaseIPreconBegin),F$8&lt;=YEAR(PhaseIConEnd)))*SUM($D49:$N49)*'Assumptions-Overall'!$H$44/(YEAR(PhaseIConEnd)-YEAR(PhaseIPreconBegin)+1)</f>
        <v>0</v>
      </c>
      <c r="G51" s="242">
        <f>(AND(G$8&gt;=YEAR(PhaseIPreconBegin),G$8&lt;=YEAR(PhaseIConEnd)))*SUM($D49:$N49)*'Assumptions-Overall'!$H$44/(YEAR(PhaseIConEnd)-YEAR(PhaseIPreconBegin)+1)</f>
        <v>0</v>
      </c>
      <c r="H51" s="242">
        <f>(AND(H$8&gt;=YEAR(PhaseIPreconBegin),H$8&lt;=YEAR(PhaseIConEnd)))*SUM($D49:$N49)*'Assumptions-Overall'!$H$44/(YEAR(PhaseIConEnd)-YEAR(PhaseIPreconBegin)+1)</f>
        <v>0</v>
      </c>
      <c r="I51" s="242">
        <f>(AND(I$8&gt;=YEAR(PhaseIPreconBegin),I$8&lt;=YEAR(PhaseIConEnd)))*SUM($D49:$N49)*'Assumptions-Overall'!$H$44/(YEAR(PhaseIConEnd)-YEAR(PhaseIPreconBegin)+1)</f>
        <v>0</v>
      </c>
      <c r="J51" s="242">
        <f>(AND(J$8&gt;=YEAR(PhaseIPreconBegin),J$8&lt;=YEAR(PhaseIConEnd)))*SUM($D49:$N49)*'Assumptions-Overall'!$H$44/(YEAR(PhaseIConEnd)-YEAR(PhaseIPreconBegin)+1)</f>
        <v>0</v>
      </c>
      <c r="K51" s="242">
        <f>(AND(K$8&gt;=YEAR(PhaseIPreconBegin),K$8&lt;=YEAR(PhaseIConEnd)))*SUM($D49:$N49)*'Assumptions-Overall'!$H$44/(YEAR(PhaseIConEnd)-YEAR(PhaseIPreconBegin)+1)</f>
        <v>0</v>
      </c>
      <c r="L51" s="242">
        <f>(AND(L$8&gt;=YEAR(PhaseIPreconBegin),L$8&lt;=YEAR(PhaseIConEnd)))*SUM($D49:$N49)*'Assumptions-Overall'!$H$44/(YEAR(PhaseIConEnd)-YEAR(PhaseIPreconBegin)+1)</f>
        <v>0</v>
      </c>
      <c r="M51" s="242">
        <f>(AND(M$8&gt;=YEAR(PhaseIPreconBegin),M$8&lt;=YEAR(PhaseIConEnd)))*SUM($D49:$N49)*'Assumptions-Overall'!$H$44/(YEAR(PhaseIConEnd)-YEAR(PhaseIPreconBegin)+1)</f>
        <v>0</v>
      </c>
      <c r="N51" s="247"/>
    </row>
    <row r="52" spans="2:14" x14ac:dyDescent="0.2">
      <c r="B52" s="4" t="s">
        <v>184</v>
      </c>
      <c r="C52" s="12"/>
      <c r="D52" s="240">
        <f>SUM(D49:D51)*'Assumptions-Overall'!$H$45</f>
        <v>0</v>
      </c>
      <c r="E52" s="240">
        <f>SUM(E49:E51)*'Assumptions-Overall'!$H$45</f>
        <v>0</v>
      </c>
      <c r="F52" s="240">
        <f>SUM(F49:F51)*'Assumptions-Overall'!$H$45</f>
        <v>0</v>
      </c>
      <c r="G52" s="240">
        <f>SUM(G49:G51)*'Assumptions-Overall'!$H$45</f>
        <v>0</v>
      </c>
      <c r="H52" s="240">
        <f>SUM(H49:H51)*'Assumptions-Overall'!$H$45</f>
        <v>0</v>
      </c>
      <c r="I52" s="240">
        <f>SUM(I49:I51)*'Assumptions-Overall'!$H$45</f>
        <v>0</v>
      </c>
      <c r="J52" s="240">
        <f>SUM(J49:J51)*'Assumptions-Overall'!$H$45</f>
        <v>0</v>
      </c>
      <c r="K52" s="240">
        <f>SUM(K49:K51)*'Assumptions-Overall'!$H$45</f>
        <v>0</v>
      </c>
      <c r="L52" s="240">
        <f>SUM(L49:L51)*'Assumptions-Overall'!$H$45</f>
        <v>0</v>
      </c>
      <c r="M52" s="240">
        <f>SUM(M49:M51)*'Assumptions-Overall'!$H$45</f>
        <v>0</v>
      </c>
      <c r="N52" s="247"/>
    </row>
    <row r="53" spans="2:14" x14ac:dyDescent="0.2">
      <c r="B53" s="4" t="s">
        <v>313</v>
      </c>
      <c r="C53" s="12"/>
      <c r="D53" s="242">
        <f>SUM(D49:D52)</f>
        <v>0</v>
      </c>
      <c r="E53" s="242">
        <f t="shared" ref="E53:M53" si="8">SUM(E49:E52)</f>
        <v>0</v>
      </c>
      <c r="F53" s="242">
        <f t="shared" si="8"/>
        <v>0</v>
      </c>
      <c r="G53" s="242">
        <f t="shared" si="8"/>
        <v>0</v>
      </c>
      <c r="H53" s="242">
        <f t="shared" si="8"/>
        <v>0</v>
      </c>
      <c r="I53" s="242">
        <f t="shared" si="8"/>
        <v>0</v>
      </c>
      <c r="J53" s="242">
        <f t="shared" si="8"/>
        <v>0</v>
      </c>
      <c r="K53" s="242">
        <f t="shared" si="8"/>
        <v>0</v>
      </c>
      <c r="L53" s="242">
        <f t="shared" si="8"/>
        <v>0</v>
      </c>
      <c r="M53" s="242">
        <f t="shared" si="8"/>
        <v>0</v>
      </c>
      <c r="N53" s="247"/>
    </row>
    <row r="54" spans="2:14" x14ac:dyDescent="0.2">
      <c r="B54" s="4"/>
      <c r="C54" s="1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7"/>
    </row>
    <row r="55" spans="2:14" x14ac:dyDescent="0.2">
      <c r="B55" s="4" t="s">
        <v>319</v>
      </c>
      <c r="C55" s="12"/>
      <c r="D55" s="242">
        <f>ABS((D$8=YEAR(PhaseIComplete))*MAX(SUM(D21:D24)*'Assumptions-ResRental'!$R$15,'Assumptions-ResRental'!$R$14*'CashFlow-ResRental'!$D53:$N53))</f>
        <v>0</v>
      </c>
      <c r="E55" s="242">
        <f>ABS((E$8=YEAR(PhaseIComplete))*MAX(SUM(E21:E24)*'Assumptions-ResRental'!$R$15,'Assumptions-ResRental'!$R$14*'CashFlow-ResRental'!$D53:$N53))</f>
        <v>0</v>
      </c>
      <c r="F55" s="242">
        <f>ABS((F$8=YEAR(PhaseIComplete))*MAX(SUM(F21:F24)*'Assumptions-ResRental'!$R$15,'Assumptions-ResRental'!$R$14*'CashFlow-ResRental'!$D53:$N53))</f>
        <v>0</v>
      </c>
      <c r="G55" s="242">
        <f>ABS((G$8=YEAR(PhaseIComplete))*MAX(SUM(G21:G24)*'Assumptions-ResRental'!$R$15,'Assumptions-ResRental'!$R$14*'CashFlow-ResRental'!$D53:$N53))</f>
        <v>0</v>
      </c>
      <c r="H55" s="242">
        <f>ABS((H$8=YEAR(PhaseIComplete))*MAX(SUM(H21:H24)*'Assumptions-ResRental'!$R$15,'Assumptions-ResRental'!$R$14*'CashFlow-ResRental'!$D53:$N53))</f>
        <v>0</v>
      </c>
      <c r="I55" s="242">
        <f>ABS((I$8=YEAR(PhaseIComplete))*MAX(SUM(I21:I24)*'Assumptions-ResRental'!$R$15,'Assumptions-ResRental'!$R$14*'CashFlow-ResRental'!$D53:$N53))</f>
        <v>0</v>
      </c>
      <c r="J55" s="242">
        <f>ABS((J$8=YEAR(PhaseIComplete))*MAX(SUM(J21:J24)*'Assumptions-ResRental'!$R$15,'Assumptions-ResRental'!$R$14*'CashFlow-ResRental'!$D53:$N53))</f>
        <v>0</v>
      </c>
      <c r="K55" s="242">
        <f>ABS((K$8=YEAR(PhaseIComplete))*MAX(SUM(K21:K24)*'Assumptions-ResRental'!$R$15,'Assumptions-ResRental'!$R$14*'CashFlow-ResRental'!$D53:$N53))</f>
        <v>0</v>
      </c>
      <c r="L55" s="242">
        <f>ABS((L$8=YEAR(PhaseIComplete))*MAX(SUM(L21:L24)*'Assumptions-ResRental'!$R$15,'Assumptions-ResRental'!$R$14*'CashFlow-ResRental'!$D53:$N53))</f>
        <v>0</v>
      </c>
      <c r="M55" s="242">
        <f>ABS((M$8=YEAR(PhaseIComplete))*MAX(SUM(M21:M24)*'Assumptions-ResRental'!$R$15,'Assumptions-ResRental'!$R$14*'CashFlow-ResRental'!$D53:$N53))</f>
        <v>0</v>
      </c>
      <c r="N55" s="247"/>
    </row>
    <row r="56" spans="2:14" x14ac:dyDescent="0.2">
      <c r="B56" s="4"/>
      <c r="C56" s="1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7"/>
    </row>
    <row r="57" spans="2:14" x14ac:dyDescent="0.2">
      <c r="B57" s="53" t="s">
        <v>314</v>
      </c>
      <c r="C57" s="1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7"/>
    </row>
    <row r="58" spans="2:14" x14ac:dyDescent="0.2">
      <c r="B58" s="4" t="s">
        <v>316</v>
      </c>
      <c r="C58" s="12"/>
      <c r="D58" s="242">
        <f>(D$8=YEAR('Assumptions-Overall'!$C$30))*E42/'Assumptions-Overall'!$Y$9</f>
        <v>0</v>
      </c>
      <c r="E58" s="242">
        <f>(E$8=YEAR('Assumptions-Overall'!$C$30))*F42/'Assumptions-Overall'!$Y$9</f>
        <v>0</v>
      </c>
      <c r="F58" s="242">
        <f>(F$8=YEAR('Assumptions-Overall'!$C$30))*G42/'Assumptions-Overall'!$Y$9</f>
        <v>0</v>
      </c>
      <c r="G58" s="242">
        <f>(G$8=YEAR('Assumptions-Overall'!$C$30))*H42/'Assumptions-Overall'!$Y$9</f>
        <v>0</v>
      </c>
      <c r="H58" s="242">
        <f>(H$8=YEAR('Assumptions-Overall'!$C$30))*I42/'Assumptions-Overall'!$Y$9</f>
        <v>0</v>
      </c>
      <c r="I58" s="242">
        <f>(I$8=YEAR('Assumptions-Overall'!$C$30))*J42/'Assumptions-Overall'!$Y$9</f>
        <v>0</v>
      </c>
      <c r="J58" s="242">
        <f>(J$8=YEAR('Assumptions-Overall'!$C$30))*K42/'Assumptions-Overall'!$Y$9</f>
        <v>0</v>
      </c>
      <c r="K58" s="242">
        <f>(K$8=YEAR('Assumptions-Overall'!$C$30))*L42/'Assumptions-Overall'!$Y$9</f>
        <v>0</v>
      </c>
      <c r="L58" s="242">
        <f>(L$8=YEAR('Assumptions-Overall'!$C$30))*M42/'Assumptions-Overall'!$Y$9</f>
        <v>0</v>
      </c>
      <c r="M58" s="242">
        <f>(M$8=YEAR('Assumptions-Overall'!$C$30))*N42/'Assumptions-Overall'!$Y$9</f>
        <v>0</v>
      </c>
      <c r="N58" s="247"/>
    </row>
    <row r="59" spans="2:14" x14ac:dyDescent="0.2">
      <c r="B59" s="4" t="s">
        <v>317</v>
      </c>
      <c r="C59" s="12"/>
      <c r="D59" s="240">
        <f>-D58*'Assumptions-Overall'!$U$27</f>
        <v>0</v>
      </c>
      <c r="E59" s="240">
        <f>-E58*'Assumptions-Overall'!$U$27</f>
        <v>0</v>
      </c>
      <c r="F59" s="240">
        <f>-F58*'Assumptions-Overall'!$U$27</f>
        <v>0</v>
      </c>
      <c r="G59" s="240">
        <f>-G58*'Assumptions-Overall'!$U$27</f>
        <v>0</v>
      </c>
      <c r="H59" s="240">
        <f>-H58*'Assumptions-Overall'!$U$27</f>
        <v>0</v>
      </c>
      <c r="I59" s="240">
        <f>-I58*'Assumptions-Overall'!$U$27</f>
        <v>0</v>
      </c>
      <c r="J59" s="240">
        <f>-J58*'Assumptions-Overall'!$U$27</f>
        <v>0</v>
      </c>
      <c r="K59" s="240">
        <f>-K58*'Assumptions-Overall'!$U$27</f>
        <v>0</v>
      </c>
      <c r="L59" s="240">
        <f>-L58*'Assumptions-Overall'!$U$27</f>
        <v>0</v>
      </c>
      <c r="M59" s="240">
        <f>-M58*'Assumptions-Overall'!$U$27</f>
        <v>0</v>
      </c>
      <c r="N59" s="247"/>
    </row>
    <row r="60" spans="2:14" x14ac:dyDescent="0.2">
      <c r="B60" s="4" t="s">
        <v>318</v>
      </c>
      <c r="C60" s="12"/>
      <c r="D60" s="242">
        <f>SUM(D58:D59)</f>
        <v>0</v>
      </c>
      <c r="E60" s="242">
        <f t="shared" ref="E60:M60" si="9">SUM(E58:E59)</f>
        <v>0</v>
      </c>
      <c r="F60" s="242">
        <f t="shared" si="9"/>
        <v>0</v>
      </c>
      <c r="G60" s="242">
        <f t="shared" si="9"/>
        <v>0</v>
      </c>
      <c r="H60" s="242">
        <f t="shared" si="9"/>
        <v>0</v>
      </c>
      <c r="I60" s="242">
        <f t="shared" si="9"/>
        <v>0</v>
      </c>
      <c r="J60" s="242">
        <f t="shared" si="9"/>
        <v>0</v>
      </c>
      <c r="K60" s="242">
        <f t="shared" si="9"/>
        <v>0</v>
      </c>
      <c r="L60" s="242">
        <f t="shared" si="9"/>
        <v>0</v>
      </c>
      <c r="M60" s="242">
        <f t="shared" si="9"/>
        <v>0</v>
      </c>
      <c r="N60" s="247"/>
    </row>
    <row r="61" spans="2:14" x14ac:dyDescent="0.2">
      <c r="B61" s="4"/>
      <c r="C61" s="1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7"/>
    </row>
    <row r="62" spans="2:14" x14ac:dyDescent="0.2">
      <c r="B62" s="4" t="s">
        <v>315</v>
      </c>
      <c r="C62" s="12"/>
      <c r="D62" s="242">
        <f>D46+D53+D60</f>
        <v>0</v>
      </c>
      <c r="E62" s="242">
        <f t="shared" ref="E62:M62" si="10">E46+E53+E60</f>
        <v>0</v>
      </c>
      <c r="F62" s="242">
        <f t="shared" si="10"/>
        <v>0</v>
      </c>
      <c r="G62" s="242">
        <f t="shared" si="10"/>
        <v>0</v>
      </c>
      <c r="H62" s="242">
        <f t="shared" si="10"/>
        <v>0</v>
      </c>
      <c r="I62" s="242">
        <f t="shared" si="10"/>
        <v>0</v>
      </c>
      <c r="J62" s="242">
        <f t="shared" si="10"/>
        <v>0</v>
      </c>
      <c r="K62" s="242">
        <f t="shared" si="10"/>
        <v>0</v>
      </c>
      <c r="L62" s="242">
        <f t="shared" si="10"/>
        <v>0</v>
      </c>
      <c r="M62" s="242">
        <f t="shared" si="10"/>
        <v>0</v>
      </c>
      <c r="N62" s="247"/>
    </row>
    <row r="63" spans="2:14" x14ac:dyDescent="0.2">
      <c r="B63" s="4" t="s">
        <v>320</v>
      </c>
      <c r="C63" s="254" t="str">
        <f>IFERROR(IRR(D62:M62),"n/a")</f>
        <v>n/a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7"/>
    </row>
    <row r="64" spans="2:14" ht="12.75" thickBot="1" x14ac:dyDescent="0.25">
      <c r="B64" s="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6"/>
    </row>
    <row r="65" spans="2:14" x14ac:dyDescent="0.2">
      <c r="B65" s="250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2"/>
    </row>
    <row r="66" spans="2:14" x14ac:dyDescent="0.2">
      <c r="B66" s="243" t="s">
        <v>297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</row>
    <row r="67" spans="2:14" x14ac:dyDescent="0.2">
      <c r="B67" s="4" t="s">
        <v>293</v>
      </c>
      <c r="C67" s="12"/>
      <c r="D67" s="244">
        <f>(D$8&gt;=YEAR(PhaseIIComplete))*SUMIFS(BuildingSummary!$C$20:$Q$20,BuildingSummary!$C$32:$Q$32,"Rental",BuildingSummary!$C$18:$Q$18,"II")+(D$8&gt;=YEAR(PhaseIIComplete))*SUMIFS(BuildingSummary!$C$27:$Q$27,BuildingSummary!$C$32:$Q$32,"Rental",BuildingSummary!$C$18:$Q$18,"II")</f>
        <v>0</v>
      </c>
      <c r="E67" s="244">
        <f>(E$8&gt;=YEAR(PhaseIIComplete))*SUMIFS(BuildingSummary!$C$20:$Q$20,BuildingSummary!$C$32:$Q$32,"Rental",BuildingSummary!$C$18:$Q$18,"II")+(E$8&gt;=YEAR(PhaseIIComplete))*SUMIFS(BuildingSummary!$C$27:$Q$27,BuildingSummary!$C$32:$Q$32,"Rental",BuildingSummary!$C$18:$Q$18,"II")</f>
        <v>0</v>
      </c>
      <c r="F67" s="244">
        <f>(F$8&gt;=YEAR(PhaseIIComplete))*SUMIFS(BuildingSummary!$C$20:$Q$20,BuildingSummary!$C$32:$Q$32,"Rental",BuildingSummary!$C$18:$Q$18,"II")+(F$8&gt;=YEAR(PhaseIIComplete))*SUMIFS(BuildingSummary!$C$27:$Q$27,BuildingSummary!$C$32:$Q$32,"Rental",BuildingSummary!$C$18:$Q$18,"II")</f>
        <v>0</v>
      </c>
      <c r="G67" s="244">
        <f>(G$8&gt;=YEAR(PhaseIIComplete))*SUMIFS(BuildingSummary!$C$20:$Q$20,BuildingSummary!$C$32:$Q$32,"Rental",BuildingSummary!$C$18:$Q$18,"II")+(G$8&gt;=YEAR(PhaseIIComplete))*SUMIFS(BuildingSummary!$C$27:$Q$27,BuildingSummary!$C$32:$Q$32,"Rental",BuildingSummary!$C$18:$Q$18,"II")</f>
        <v>0</v>
      </c>
      <c r="H67" s="244">
        <f>(H$8&gt;=YEAR(PhaseIIComplete))*SUMIFS(BuildingSummary!$C$20:$Q$20,BuildingSummary!$C$32:$Q$32,"Rental",BuildingSummary!$C$18:$Q$18,"II")+(H$8&gt;=YEAR(PhaseIIComplete))*SUMIFS(BuildingSummary!$C$27:$Q$27,BuildingSummary!$C$32:$Q$32,"Rental",BuildingSummary!$C$18:$Q$18,"II")</f>
        <v>0</v>
      </c>
      <c r="I67" s="244">
        <f>(I$8&gt;=YEAR(PhaseIIComplete))*SUMIFS(BuildingSummary!$C$20:$Q$20,BuildingSummary!$C$32:$Q$32,"Rental",BuildingSummary!$C$18:$Q$18,"II")+(I$8&gt;=YEAR(PhaseIIComplete))*SUMIFS(BuildingSummary!$C$27:$Q$27,BuildingSummary!$C$32:$Q$32,"Rental",BuildingSummary!$C$18:$Q$18,"II")</f>
        <v>0</v>
      </c>
      <c r="J67" s="244">
        <f>(J$8&gt;=YEAR(PhaseIIComplete))*SUMIFS(BuildingSummary!$C$20:$Q$20,BuildingSummary!$C$32:$Q$32,"Rental",BuildingSummary!$C$18:$Q$18,"II")+(J$8&gt;=YEAR(PhaseIIComplete))*SUMIFS(BuildingSummary!$C$27:$Q$27,BuildingSummary!$C$32:$Q$32,"Rental",BuildingSummary!$C$18:$Q$18,"II")</f>
        <v>130184.35699999999</v>
      </c>
      <c r="K67" s="244">
        <f>(K$8&gt;=YEAR(PhaseIIComplete))*SUMIFS(BuildingSummary!$C$20:$Q$20,BuildingSummary!$C$32:$Q$32,"Rental",BuildingSummary!$C$18:$Q$18,"II")+(K$8&gt;=YEAR(PhaseIIComplete))*SUMIFS(BuildingSummary!$C$27:$Q$27,BuildingSummary!$C$32:$Q$32,"Rental",BuildingSummary!$C$18:$Q$18,"II")</f>
        <v>130184.35699999999</v>
      </c>
      <c r="L67" s="244">
        <f>(L$8&gt;=YEAR(PhaseIIComplete))*SUMIFS(BuildingSummary!$C$20:$Q$20,BuildingSummary!$C$32:$Q$32,"Rental",BuildingSummary!$C$18:$Q$18,"II")+(L$8&gt;=YEAR(PhaseIIComplete))*SUMIFS(BuildingSummary!$C$27:$Q$27,BuildingSummary!$C$32:$Q$32,"Rental",BuildingSummary!$C$18:$Q$18,"II")</f>
        <v>130184.35699999999</v>
      </c>
      <c r="M67" s="244">
        <f>(M$8&gt;=YEAR(PhaseIIComplete))*SUMIFS(BuildingSummary!$C$20:$Q$20,BuildingSummary!$C$32:$Q$32,"Rental",BuildingSummary!$C$18:$Q$18,"II")+(M$8&gt;=YEAR(PhaseIIComplete))*SUMIFS(BuildingSummary!$C$27:$Q$27,BuildingSummary!$C$32:$Q$32,"Rental",BuildingSummary!$C$18:$Q$18,"II")</f>
        <v>130184.35699999999</v>
      </c>
      <c r="N67" s="245">
        <f>(N$8&gt;=YEAR(PhaseIIComplete))*SUMIFS(BuildingSummary!$C$20:$Q$20,BuildingSummary!$C$32:$Q$32,"Rental",BuildingSummary!$C$18:$Q$18,"II")+(N$8&gt;=YEAR(PhaseIIComplete))*SUMIFS(BuildingSummary!$C$27:$Q$27,BuildingSummary!$C$32:$Q$32,"Rental",BuildingSummary!$C$18:$Q$18,"II")</f>
        <v>130184.35699999999</v>
      </c>
    </row>
    <row r="68" spans="2:14" x14ac:dyDescent="0.2">
      <c r="B68" s="4" t="s">
        <v>294</v>
      </c>
      <c r="C68" s="12"/>
      <c r="D68" s="244">
        <f>D67-C67</f>
        <v>0</v>
      </c>
      <c r="E68" s="244">
        <f t="shared" ref="E68" si="11">E67-D67</f>
        <v>0</v>
      </c>
      <c r="F68" s="244">
        <f t="shared" ref="F68" si="12">F67-E67</f>
        <v>0</v>
      </c>
      <c r="G68" s="244">
        <f t="shared" ref="G68" si="13">G67-F67</f>
        <v>0</v>
      </c>
      <c r="H68" s="244">
        <f t="shared" ref="H68" si="14">H67-G67</f>
        <v>0</v>
      </c>
      <c r="I68" s="244">
        <f t="shared" ref="I68" si="15">I67-H67</f>
        <v>0</v>
      </c>
      <c r="J68" s="244">
        <f t="shared" ref="J68" si="16">J67-I67</f>
        <v>130184.35699999999</v>
      </c>
      <c r="K68" s="244">
        <f t="shared" ref="K68" si="17">K67-J67</f>
        <v>0</v>
      </c>
      <c r="L68" s="244">
        <f t="shared" ref="L68" si="18">L67-K67</f>
        <v>0</v>
      </c>
      <c r="M68" s="244">
        <f t="shared" ref="M68" si="19">M67-L67</f>
        <v>0</v>
      </c>
      <c r="N68" s="245">
        <f t="shared" ref="N68" si="20">N67-M67</f>
        <v>0</v>
      </c>
    </row>
    <row r="69" spans="2:14" x14ac:dyDescent="0.2">
      <c r="B69" s="4"/>
      <c r="C69" s="12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5"/>
    </row>
    <row r="70" spans="2:14" x14ac:dyDescent="0.2">
      <c r="B70" s="53" t="s">
        <v>295</v>
      </c>
      <c r="C70" s="12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5"/>
    </row>
    <row r="71" spans="2:14" x14ac:dyDescent="0.2">
      <c r="B71" s="4" t="s">
        <v>15</v>
      </c>
      <c r="C71" s="12"/>
      <c r="D71" s="244">
        <f>(D$8&gt;=YEAR(PhaseIIComplete))*'Assumptions-ResRental'!$E9</f>
        <v>0</v>
      </c>
      <c r="E71" s="244">
        <f>(E$8&gt;=YEAR(PhaseIIComplete))*'Assumptions-ResRental'!$E9</f>
        <v>0</v>
      </c>
      <c r="F71" s="244">
        <f>(F$8&gt;=YEAR(PhaseIIComplete))*'Assumptions-ResRental'!$E9</f>
        <v>0</v>
      </c>
      <c r="G71" s="244">
        <f>(G$8&gt;=YEAR(PhaseIIComplete))*'Assumptions-ResRental'!$E9</f>
        <v>0</v>
      </c>
      <c r="H71" s="244">
        <f>(H$8&gt;=YEAR(PhaseIIComplete))*'Assumptions-ResRental'!$E9</f>
        <v>0</v>
      </c>
      <c r="I71" s="244">
        <f>(I$8&gt;=YEAR(PhaseIIComplete))*'Assumptions-ResRental'!$E9</f>
        <v>0</v>
      </c>
      <c r="J71" s="244">
        <f>(J$8&gt;=YEAR(PhaseIIComplete))*'Assumptions-ResRental'!$E9</f>
        <v>43</v>
      </c>
      <c r="K71" s="244">
        <f>(K$8&gt;=YEAR(PhaseIIComplete))*'Assumptions-ResRental'!$E9</f>
        <v>43</v>
      </c>
      <c r="L71" s="244">
        <f>(L$8&gt;=YEAR(PhaseIIComplete))*'Assumptions-ResRental'!$E9</f>
        <v>43</v>
      </c>
      <c r="M71" s="244">
        <f>(M$8&gt;=YEAR(PhaseIIComplete))*'Assumptions-ResRental'!$E9</f>
        <v>43</v>
      </c>
      <c r="N71" s="245">
        <f>(N$8&gt;=YEAR(PhaseIIComplete))*'Assumptions-ResRental'!$E9</f>
        <v>43</v>
      </c>
    </row>
    <row r="72" spans="2:14" x14ac:dyDescent="0.2">
      <c r="B72" s="4" t="s">
        <v>14</v>
      </c>
      <c r="C72" s="12"/>
      <c r="D72" s="244">
        <f>(D$8&gt;=YEAR(PhaseIIComplete))*'Assumptions-ResRental'!$E10</f>
        <v>0</v>
      </c>
      <c r="E72" s="244">
        <f>(E$8&gt;=YEAR(PhaseIIComplete))*'Assumptions-ResRental'!$E10</f>
        <v>0</v>
      </c>
      <c r="F72" s="244">
        <f>(F$8&gt;=YEAR(PhaseIIComplete))*'Assumptions-ResRental'!$E10</f>
        <v>0</v>
      </c>
      <c r="G72" s="244">
        <f>(G$8&gt;=YEAR(PhaseIIComplete))*'Assumptions-ResRental'!$E10</f>
        <v>0</v>
      </c>
      <c r="H72" s="244">
        <f>(H$8&gt;=YEAR(PhaseIIComplete))*'Assumptions-ResRental'!$E10</f>
        <v>0</v>
      </c>
      <c r="I72" s="244">
        <f>(I$8&gt;=YEAR(PhaseIIComplete))*'Assumptions-ResRental'!$E10</f>
        <v>0</v>
      </c>
      <c r="J72" s="244">
        <f>(J$8&gt;=YEAR(PhaseIIComplete))*'Assumptions-ResRental'!$E10</f>
        <v>53</v>
      </c>
      <c r="K72" s="244">
        <f>(K$8&gt;=YEAR(PhaseIIComplete))*'Assumptions-ResRental'!$E10</f>
        <v>53</v>
      </c>
      <c r="L72" s="244">
        <f>(L$8&gt;=YEAR(PhaseIIComplete))*'Assumptions-ResRental'!$E10</f>
        <v>53</v>
      </c>
      <c r="M72" s="244">
        <f>(M$8&gt;=YEAR(PhaseIIComplete))*'Assumptions-ResRental'!$E10</f>
        <v>53</v>
      </c>
      <c r="N72" s="245">
        <f>(N$8&gt;=YEAR(PhaseIIComplete))*'Assumptions-ResRental'!$E10</f>
        <v>53</v>
      </c>
    </row>
    <row r="73" spans="2:14" x14ac:dyDescent="0.2">
      <c r="B73" s="4" t="s">
        <v>13</v>
      </c>
      <c r="C73" s="12"/>
      <c r="D73" s="244">
        <f>(D$8&gt;=YEAR(PhaseIIComplete))*'Assumptions-ResRental'!$E11</f>
        <v>0</v>
      </c>
      <c r="E73" s="244">
        <f>(E$8&gt;=YEAR(PhaseIIComplete))*'Assumptions-ResRental'!$E11</f>
        <v>0</v>
      </c>
      <c r="F73" s="244">
        <f>(F$8&gt;=YEAR(PhaseIIComplete))*'Assumptions-ResRental'!$E11</f>
        <v>0</v>
      </c>
      <c r="G73" s="244">
        <f>(G$8&gt;=YEAR(PhaseIIComplete))*'Assumptions-ResRental'!$E11</f>
        <v>0</v>
      </c>
      <c r="H73" s="244">
        <f>(H$8&gt;=YEAR(PhaseIIComplete))*'Assumptions-ResRental'!$E11</f>
        <v>0</v>
      </c>
      <c r="I73" s="244">
        <f>(I$8&gt;=YEAR(PhaseIIComplete))*'Assumptions-ResRental'!$E11</f>
        <v>0</v>
      </c>
      <c r="J73" s="244">
        <f>(J$8&gt;=YEAR(PhaseIIComplete))*'Assumptions-ResRental'!$E11</f>
        <v>15</v>
      </c>
      <c r="K73" s="244">
        <f>(K$8&gt;=YEAR(PhaseIIComplete))*'Assumptions-ResRental'!$E11</f>
        <v>15</v>
      </c>
      <c r="L73" s="244">
        <f>(L$8&gt;=YEAR(PhaseIIComplete))*'Assumptions-ResRental'!$E11</f>
        <v>15</v>
      </c>
      <c r="M73" s="244">
        <f>(M$8&gt;=YEAR(PhaseIIComplete))*'Assumptions-ResRental'!$E11</f>
        <v>15</v>
      </c>
      <c r="N73" s="245">
        <f>(N$8&gt;=YEAR(PhaseIIComplete))*'Assumptions-ResRental'!$E11</f>
        <v>15</v>
      </c>
    </row>
    <row r="74" spans="2:14" x14ac:dyDescent="0.2">
      <c r="B74" s="4" t="s">
        <v>12</v>
      </c>
      <c r="C74" s="12"/>
      <c r="D74" s="244">
        <f>(D$8&gt;=YEAR(PhaseIIComplete))*'Assumptions-ResRental'!$E12</f>
        <v>0</v>
      </c>
      <c r="E74" s="244">
        <f>(E$8&gt;=YEAR(PhaseIIComplete))*'Assumptions-ResRental'!$E12</f>
        <v>0</v>
      </c>
      <c r="F74" s="244">
        <f>(F$8&gt;=YEAR(PhaseIIComplete))*'Assumptions-ResRental'!$E12</f>
        <v>0</v>
      </c>
      <c r="G74" s="244">
        <f>(G$8&gt;=YEAR(PhaseIIComplete))*'Assumptions-ResRental'!$E12</f>
        <v>0</v>
      </c>
      <c r="H74" s="244">
        <f>(H$8&gt;=YEAR(PhaseIIComplete))*'Assumptions-ResRental'!$E12</f>
        <v>0</v>
      </c>
      <c r="I74" s="244">
        <f>(I$8&gt;=YEAR(PhaseIIComplete))*'Assumptions-ResRental'!$E12</f>
        <v>0</v>
      </c>
      <c r="J74" s="244">
        <f>(J$8&gt;=YEAR(PhaseIIComplete))*'Assumptions-ResRental'!$E12</f>
        <v>3</v>
      </c>
      <c r="K74" s="244">
        <f>(K$8&gt;=YEAR(PhaseIIComplete))*'Assumptions-ResRental'!$E12</f>
        <v>3</v>
      </c>
      <c r="L74" s="244">
        <f>(L$8&gt;=YEAR(PhaseIIComplete))*'Assumptions-ResRental'!$E12</f>
        <v>3</v>
      </c>
      <c r="M74" s="244">
        <f>(M$8&gt;=YEAR(PhaseIIComplete))*'Assumptions-ResRental'!$E12</f>
        <v>3</v>
      </c>
      <c r="N74" s="245">
        <f>(N$8&gt;=YEAR(PhaseIIComplete))*'Assumptions-ResRental'!$E12</f>
        <v>3</v>
      </c>
    </row>
    <row r="75" spans="2:14" x14ac:dyDescent="0.2">
      <c r="B75" s="4"/>
      <c r="C75" s="12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5"/>
    </row>
    <row r="76" spans="2:14" x14ac:dyDescent="0.2">
      <c r="B76" s="53" t="s">
        <v>296</v>
      </c>
      <c r="C76" s="12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5"/>
    </row>
    <row r="77" spans="2:14" x14ac:dyDescent="0.2">
      <c r="B77" s="4" t="s">
        <v>15</v>
      </c>
      <c r="C77" s="12"/>
      <c r="D77" s="244">
        <f>(D$8&gt;=YEAR(PhaseIIComplete))*'Assumptions-ResRental'!$E17</f>
        <v>0</v>
      </c>
      <c r="E77" s="244">
        <f>(E$8&gt;=YEAR(PhaseIIComplete))*'Assumptions-ResRental'!$E17</f>
        <v>0</v>
      </c>
      <c r="F77" s="244">
        <f>(F$8&gt;=YEAR(PhaseIIComplete))*'Assumptions-ResRental'!$E17</f>
        <v>0</v>
      </c>
      <c r="G77" s="244">
        <f>(G$8&gt;=YEAR(PhaseIIComplete))*'Assumptions-ResRental'!$E17</f>
        <v>0</v>
      </c>
      <c r="H77" s="244">
        <f>(H$8&gt;=YEAR(PhaseIIComplete))*'Assumptions-ResRental'!$E17</f>
        <v>0</v>
      </c>
      <c r="I77" s="244">
        <f>(I$8&gt;=YEAR(PhaseIIComplete))*'Assumptions-ResRental'!$E17</f>
        <v>0</v>
      </c>
      <c r="J77" s="244">
        <f>(J$8&gt;=YEAR(PhaseIIComplete))*'Assumptions-ResRental'!$E17</f>
        <v>5</v>
      </c>
      <c r="K77" s="244">
        <f>(K$8&gt;=YEAR(PhaseIIComplete))*'Assumptions-ResRental'!$E17</f>
        <v>5</v>
      </c>
      <c r="L77" s="244">
        <f>(L$8&gt;=YEAR(PhaseIIComplete))*'Assumptions-ResRental'!$E17</f>
        <v>5</v>
      </c>
      <c r="M77" s="244">
        <f>(M$8&gt;=YEAR(PhaseIIComplete))*'Assumptions-ResRental'!$E17</f>
        <v>5</v>
      </c>
      <c r="N77" s="245">
        <f>(N$8&gt;=YEAR(PhaseIIComplete))*'Assumptions-ResRental'!$E17</f>
        <v>5</v>
      </c>
    </row>
    <row r="78" spans="2:14" x14ac:dyDescent="0.2">
      <c r="B78" s="4" t="s">
        <v>14</v>
      </c>
      <c r="C78" s="12"/>
      <c r="D78" s="244">
        <f>(D$8&gt;=YEAR(PhaseIIComplete))*'Assumptions-ResRental'!$E18</f>
        <v>0</v>
      </c>
      <c r="E78" s="244">
        <f>(E$8&gt;=YEAR(PhaseIIComplete))*'Assumptions-ResRental'!$E18</f>
        <v>0</v>
      </c>
      <c r="F78" s="244">
        <f>(F$8&gt;=YEAR(PhaseIIComplete))*'Assumptions-ResRental'!$E18</f>
        <v>0</v>
      </c>
      <c r="G78" s="244">
        <f>(G$8&gt;=YEAR(PhaseIIComplete))*'Assumptions-ResRental'!$E18</f>
        <v>0</v>
      </c>
      <c r="H78" s="244">
        <f>(H$8&gt;=YEAR(PhaseIIComplete))*'Assumptions-ResRental'!$E18</f>
        <v>0</v>
      </c>
      <c r="I78" s="244">
        <f>(I$8&gt;=YEAR(PhaseIIComplete))*'Assumptions-ResRental'!$E18</f>
        <v>0</v>
      </c>
      <c r="J78" s="244">
        <f>(J$8&gt;=YEAR(PhaseIIComplete))*'Assumptions-ResRental'!$E18</f>
        <v>7</v>
      </c>
      <c r="K78" s="244">
        <f>(K$8&gt;=YEAR(PhaseIIComplete))*'Assumptions-ResRental'!$E18</f>
        <v>7</v>
      </c>
      <c r="L78" s="244">
        <f>(L$8&gt;=YEAR(PhaseIIComplete))*'Assumptions-ResRental'!$E18</f>
        <v>7</v>
      </c>
      <c r="M78" s="244">
        <f>(M$8&gt;=YEAR(PhaseIIComplete))*'Assumptions-ResRental'!$E18</f>
        <v>7</v>
      </c>
      <c r="N78" s="245">
        <f>(N$8&gt;=YEAR(PhaseIIComplete))*'Assumptions-ResRental'!$E18</f>
        <v>7</v>
      </c>
    </row>
    <row r="79" spans="2:14" x14ac:dyDescent="0.2">
      <c r="B79" s="4" t="s">
        <v>13</v>
      </c>
      <c r="C79" s="12"/>
      <c r="D79" s="244">
        <f>(D$8&gt;=YEAR(PhaseIIComplete))*'Assumptions-ResRental'!$E19</f>
        <v>0</v>
      </c>
      <c r="E79" s="244">
        <f>(E$8&gt;=YEAR(PhaseIIComplete))*'Assumptions-ResRental'!$E19</f>
        <v>0</v>
      </c>
      <c r="F79" s="244">
        <f>(F$8&gt;=YEAR(PhaseIIComplete))*'Assumptions-ResRental'!$E19</f>
        <v>0</v>
      </c>
      <c r="G79" s="244">
        <f>(G$8&gt;=YEAR(PhaseIIComplete))*'Assumptions-ResRental'!$E19</f>
        <v>0</v>
      </c>
      <c r="H79" s="244">
        <f>(H$8&gt;=YEAR(PhaseIIComplete))*'Assumptions-ResRental'!$E19</f>
        <v>0</v>
      </c>
      <c r="I79" s="244">
        <f>(I$8&gt;=YEAR(PhaseIIComplete))*'Assumptions-ResRental'!$E19</f>
        <v>0</v>
      </c>
      <c r="J79" s="244">
        <f>(J$8&gt;=YEAR(PhaseIIComplete))*'Assumptions-ResRental'!$E19</f>
        <v>9</v>
      </c>
      <c r="K79" s="244">
        <f>(K$8&gt;=YEAR(PhaseIIComplete))*'Assumptions-ResRental'!$E19</f>
        <v>9</v>
      </c>
      <c r="L79" s="244">
        <f>(L$8&gt;=YEAR(PhaseIIComplete))*'Assumptions-ResRental'!$E19</f>
        <v>9</v>
      </c>
      <c r="M79" s="244">
        <f>(M$8&gt;=YEAR(PhaseIIComplete))*'Assumptions-ResRental'!$E19</f>
        <v>9</v>
      </c>
      <c r="N79" s="245">
        <f>(N$8&gt;=YEAR(PhaseIIComplete))*'Assumptions-ResRental'!$E19</f>
        <v>9</v>
      </c>
    </row>
    <row r="80" spans="2:14" x14ac:dyDescent="0.2">
      <c r="B80" s="4" t="s">
        <v>12</v>
      </c>
      <c r="C80" s="12"/>
      <c r="D80" s="244">
        <f>(D$8&gt;=YEAR(PhaseIIComplete))*'Assumptions-ResRental'!$E20</f>
        <v>0</v>
      </c>
      <c r="E80" s="244">
        <f>(E$8&gt;=YEAR(PhaseIIComplete))*'Assumptions-ResRental'!$E20</f>
        <v>0</v>
      </c>
      <c r="F80" s="244">
        <f>(F$8&gt;=YEAR(PhaseIIComplete))*'Assumptions-ResRental'!$E20</f>
        <v>0</v>
      </c>
      <c r="G80" s="244">
        <f>(G$8&gt;=YEAR(PhaseIIComplete))*'Assumptions-ResRental'!$E20</f>
        <v>0</v>
      </c>
      <c r="H80" s="244">
        <f>(H$8&gt;=YEAR(PhaseIIComplete))*'Assumptions-ResRental'!$E20</f>
        <v>0</v>
      </c>
      <c r="I80" s="244">
        <f>(I$8&gt;=YEAR(PhaseIIComplete))*'Assumptions-ResRental'!$E20</f>
        <v>0</v>
      </c>
      <c r="J80" s="244">
        <f>(J$8&gt;=YEAR(PhaseIIComplete))*'Assumptions-ResRental'!$E20</f>
        <v>3</v>
      </c>
      <c r="K80" s="244">
        <f>(K$8&gt;=YEAR(PhaseIIComplete))*'Assumptions-ResRental'!$E20</f>
        <v>3</v>
      </c>
      <c r="L80" s="244">
        <f>(L$8&gt;=YEAR(PhaseIIComplete))*'Assumptions-ResRental'!$E20</f>
        <v>3</v>
      </c>
      <c r="M80" s="244">
        <f>(M$8&gt;=YEAR(PhaseIIComplete))*'Assumptions-ResRental'!$E20</f>
        <v>3</v>
      </c>
      <c r="N80" s="245">
        <f>(N$8&gt;=YEAR(PhaseIIComplete))*'Assumptions-ResRental'!$E20</f>
        <v>3</v>
      </c>
    </row>
    <row r="81" spans="2:14" x14ac:dyDescent="0.2">
      <c r="B81" s="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</row>
    <row r="82" spans="2:14" x14ac:dyDescent="0.2">
      <c r="B82" s="53" t="s">
        <v>307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</row>
    <row r="83" spans="2:14" x14ac:dyDescent="0.2">
      <c r="B83" s="4" t="s">
        <v>299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</row>
    <row r="84" spans="2:14" x14ac:dyDescent="0.2">
      <c r="B84" s="246" t="s">
        <v>252</v>
      </c>
      <c r="C84" s="12"/>
      <c r="D84" s="242">
        <f>SUMPRODUCT(D71:D74,'Assumptions-ResRental'!$L$8:$L$11)*(1+'Assumptions-Overall'!$C$35)^('CashFlow-ResRental'!D$7-1)</f>
        <v>0</v>
      </c>
      <c r="E84" s="242">
        <f>SUMPRODUCT(E71:E74,'Assumptions-ResRental'!$L$8:$L$11)*(1+'Assumptions-Overall'!$C$35)^('CashFlow-ResRental'!E$7-1)</f>
        <v>0</v>
      </c>
      <c r="F84" s="242">
        <f>SUMPRODUCT(F71:F74,'Assumptions-ResRental'!$L$8:$L$11)*(1+'Assumptions-Overall'!$C$35)^('CashFlow-ResRental'!F$7-1)</f>
        <v>0</v>
      </c>
      <c r="G84" s="242">
        <f>SUMPRODUCT(G71:G74,'Assumptions-ResRental'!$L$8:$L$11)*(1+'Assumptions-Overall'!$C$35)^('CashFlow-ResRental'!G$7-1)</f>
        <v>0</v>
      </c>
      <c r="H84" s="242">
        <f>SUMPRODUCT(H71:H74,'Assumptions-ResRental'!$L$8:$L$11)*(1+'Assumptions-Overall'!$C$35)^('CashFlow-ResRental'!H$7-1)</f>
        <v>0</v>
      </c>
      <c r="I84" s="242">
        <f>SUMPRODUCT(I71:I74,'Assumptions-ResRental'!$L$8:$L$11)*(1+'Assumptions-Overall'!$C$35)^('CashFlow-ResRental'!I$7-1)</f>
        <v>0</v>
      </c>
      <c r="J84" s="242">
        <f>SUMPRODUCT(J71:J74,'Assumptions-ResRental'!$L$8:$L$11)*(1+'Assumptions-Overall'!$C$35)^('CashFlow-ResRental'!J$7-1)</f>
        <v>3931603.451836485</v>
      </c>
      <c r="K84" s="242">
        <f>SUMPRODUCT(K71:K74,'Assumptions-ResRental'!$L$8:$L$11)*(1+'Assumptions-Overall'!$C$35)^('CashFlow-ResRental'!K$7-1)</f>
        <v>4049551.5553915799</v>
      </c>
      <c r="L84" s="242">
        <f>SUMPRODUCT(L71:L74,'Assumptions-ResRental'!$L$8:$L$11)*(1+'Assumptions-Overall'!$C$35)^('CashFlow-ResRental'!L$7-1)</f>
        <v>4171038.1020533266</v>
      </c>
      <c r="M84" s="242">
        <f>SUMPRODUCT(M71:M74,'Assumptions-ResRental'!$L$8:$L$11)*(1+'Assumptions-Overall'!$C$35)^('CashFlow-ResRental'!M$7-1)</f>
        <v>4296169.2451149262</v>
      </c>
      <c r="N84" s="247">
        <f>SUMPRODUCT(N71:N74,'Assumptions-ResRental'!$L$8:$L$11)*(1+'Assumptions-Overall'!$C$35)^('CashFlow-ResRental'!N$7-1)</f>
        <v>4425054.3224683749</v>
      </c>
    </row>
    <row r="85" spans="2:14" x14ac:dyDescent="0.2">
      <c r="B85" s="246" t="s">
        <v>253</v>
      </c>
      <c r="C85" s="12"/>
      <c r="D85" s="240">
        <f>SUMPRODUCT(D77:D80,'Assumptions-ResRental'!$R$8:$R$11)*(1+'Assumptions-Overall'!$C$36)^('CashFlow-ResRental'!D$7-1)</f>
        <v>0</v>
      </c>
      <c r="E85" s="240">
        <f>SUMPRODUCT(E77:E80,'Assumptions-ResRental'!$R$8:$R$11)*(1+'Assumptions-Overall'!$C$36)^('CashFlow-ResRental'!E$7-1)</f>
        <v>0</v>
      </c>
      <c r="F85" s="240">
        <f>SUMPRODUCT(F77:F80,'Assumptions-ResRental'!$R$8:$R$11)*(1+'Assumptions-Overall'!$C$36)^('CashFlow-ResRental'!F$7-1)</f>
        <v>0</v>
      </c>
      <c r="G85" s="240">
        <f>SUMPRODUCT(G77:G80,'Assumptions-ResRental'!$R$8:$R$11)*(1+'Assumptions-Overall'!$C$36)^('CashFlow-ResRental'!G$7-1)</f>
        <v>0</v>
      </c>
      <c r="H85" s="240">
        <f>SUMPRODUCT(H77:H80,'Assumptions-ResRental'!$R$8:$R$11)*(1+'Assumptions-Overall'!$C$36)^('CashFlow-ResRental'!H$7-1)</f>
        <v>0</v>
      </c>
      <c r="I85" s="240">
        <f>SUMPRODUCT(I77:I80,'Assumptions-ResRental'!$R$8:$R$11)*(1+'Assumptions-Overall'!$C$36)^('CashFlow-ResRental'!I$7-1)</f>
        <v>0</v>
      </c>
      <c r="J85" s="240">
        <f>SUMPRODUCT(J77:J80,'Assumptions-ResRental'!$R$8:$R$11)*(1+'Assumptions-Overall'!$C$36)^('CashFlow-ResRental'!J$7-1)</f>
        <v>318239.98573497526</v>
      </c>
      <c r="K85" s="240">
        <f>SUMPRODUCT(K77:K80,'Assumptions-ResRental'!$R$8:$R$11)*(1+'Assumptions-Overall'!$C$36)^('CashFlow-ResRental'!K$7-1)</f>
        <v>324604.7854496747</v>
      </c>
      <c r="L85" s="240">
        <f>SUMPRODUCT(L77:L80,'Assumptions-ResRental'!$R$8:$R$11)*(1+'Assumptions-Overall'!$C$36)^('CashFlow-ResRental'!L$7-1)</f>
        <v>331096.8811586682</v>
      </c>
      <c r="M85" s="240">
        <f>SUMPRODUCT(M77:M80,'Assumptions-ResRental'!$R$8:$R$11)*(1+'Assumptions-Overall'!$C$36)^('CashFlow-ResRental'!M$7-1)</f>
        <v>337718.81878184155</v>
      </c>
      <c r="N85" s="248">
        <f>SUMPRODUCT(N77:N80,'Assumptions-ResRental'!$R$8:$R$11)*(1+'Assumptions-Overall'!$C$36)^('CashFlow-ResRental'!N$7-1)</f>
        <v>344473.19515747845</v>
      </c>
    </row>
    <row r="86" spans="2:14" x14ac:dyDescent="0.2">
      <c r="B86" s="4" t="s">
        <v>300</v>
      </c>
      <c r="C86" s="12"/>
      <c r="D86" s="242">
        <f>SUM(D84:D85)</f>
        <v>0</v>
      </c>
      <c r="E86" s="242">
        <f t="shared" ref="E86" si="21">SUM(E84:E85)</f>
        <v>0</v>
      </c>
      <c r="F86" s="242">
        <f t="shared" ref="F86" si="22">SUM(F84:F85)</f>
        <v>0</v>
      </c>
      <c r="G86" s="242">
        <f t="shared" ref="G86" si="23">SUM(G84:G85)</f>
        <v>0</v>
      </c>
      <c r="H86" s="242">
        <f t="shared" ref="H86" si="24">SUM(H84:H85)</f>
        <v>0</v>
      </c>
      <c r="I86" s="242">
        <f t="shared" ref="I86" si="25">SUM(I84:I85)</f>
        <v>0</v>
      </c>
      <c r="J86" s="242">
        <f t="shared" ref="J86" si="26">SUM(J84:J85)</f>
        <v>4249843.4375714604</v>
      </c>
      <c r="K86" s="242">
        <f t="shared" ref="K86" si="27">SUM(K84:K85)</f>
        <v>4374156.3408412542</v>
      </c>
      <c r="L86" s="242">
        <f t="shared" ref="L86" si="28">SUM(L84:L85)</f>
        <v>4502134.9832119951</v>
      </c>
      <c r="M86" s="242">
        <f t="shared" ref="M86" si="29">SUM(M84:M85)</f>
        <v>4633888.0638967678</v>
      </c>
      <c r="N86" s="247">
        <f t="shared" ref="N86" si="30">SUM(N84:N85)</f>
        <v>4769527.5176258534</v>
      </c>
    </row>
    <row r="87" spans="2:14" x14ac:dyDescent="0.2">
      <c r="B87" s="4"/>
      <c r="C87" s="1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7"/>
    </row>
    <row r="88" spans="2:14" x14ac:dyDescent="0.2">
      <c r="B88" s="4" t="s">
        <v>301</v>
      </c>
      <c r="C88" s="1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7"/>
    </row>
    <row r="89" spans="2:14" x14ac:dyDescent="0.2">
      <c r="B89" s="246" t="s">
        <v>302</v>
      </c>
      <c r="C89" s="12"/>
      <c r="D89" s="242">
        <f>-D84*'Assumptions-ResRental'!$I$15</f>
        <v>0</v>
      </c>
      <c r="E89" s="242">
        <f>-E84*'Assumptions-ResRental'!$I$15</f>
        <v>0</v>
      </c>
      <c r="F89" s="242">
        <f>-F84*'Assumptions-ResRental'!$I$15</f>
        <v>0</v>
      </c>
      <c r="G89" s="242">
        <f>-G84*'Assumptions-ResRental'!$I$15</f>
        <v>0</v>
      </c>
      <c r="H89" s="242">
        <f>-H84*'Assumptions-ResRental'!$I$15</f>
        <v>0</v>
      </c>
      <c r="I89" s="242">
        <f>-I84*'Assumptions-ResRental'!$I$15</f>
        <v>0</v>
      </c>
      <c r="J89" s="242">
        <f>-J84*'Assumptions-ResRental'!$I$15</f>
        <v>-157264.13807345941</v>
      </c>
      <c r="K89" s="242">
        <f>-K84*'Assumptions-ResRental'!$I$15</f>
        <v>-161982.0622156632</v>
      </c>
      <c r="L89" s="242">
        <f>-L84*'Assumptions-ResRental'!$I$15</f>
        <v>-166841.52408213305</v>
      </c>
      <c r="M89" s="242">
        <f>-M84*'Assumptions-ResRental'!$I$15</f>
        <v>-171846.76980459705</v>
      </c>
      <c r="N89" s="247">
        <f>-N84*'Assumptions-ResRental'!$I$15</f>
        <v>-177002.17289873501</v>
      </c>
    </row>
    <row r="90" spans="2:14" x14ac:dyDescent="0.2">
      <c r="B90" s="246" t="s">
        <v>303</v>
      </c>
      <c r="C90" s="12"/>
      <c r="D90" s="242">
        <f>-D85*'Assumptions-ResRental'!$I$16</f>
        <v>0</v>
      </c>
      <c r="E90" s="242">
        <f>-E85*'Assumptions-ResRental'!$I$16</f>
        <v>0</v>
      </c>
      <c r="F90" s="242">
        <f>-F85*'Assumptions-ResRental'!$I$16</f>
        <v>0</v>
      </c>
      <c r="G90" s="242">
        <f>-G85*'Assumptions-ResRental'!$I$16</f>
        <v>0</v>
      </c>
      <c r="H90" s="242">
        <f>-H85*'Assumptions-ResRental'!$I$16</f>
        <v>0</v>
      </c>
      <c r="I90" s="242">
        <f>-I85*'Assumptions-ResRental'!$I$16</f>
        <v>0</v>
      </c>
      <c r="J90" s="242">
        <f>-J85*'Assumptions-ResRental'!$I$16</f>
        <v>-6364.7997146995049</v>
      </c>
      <c r="K90" s="242">
        <f>-K85*'Assumptions-ResRental'!$I$16</f>
        <v>-6492.0957089934946</v>
      </c>
      <c r="L90" s="242">
        <f>-L85*'Assumptions-ResRental'!$I$16</f>
        <v>-6621.937623173364</v>
      </c>
      <c r="M90" s="242">
        <f>-M85*'Assumptions-ResRental'!$I$16</f>
        <v>-6754.3763756368307</v>
      </c>
      <c r="N90" s="247">
        <f>-N85*'Assumptions-ResRental'!$I$16</f>
        <v>-6889.463903149569</v>
      </c>
    </row>
    <row r="91" spans="2:14" x14ac:dyDescent="0.2">
      <c r="B91" s="246" t="s">
        <v>304</v>
      </c>
      <c r="C91" s="12"/>
      <c r="D91" s="240">
        <f>-(C86=0)*(D86*'Assumptions-ResRental'!$I$20+SUM('CashFlow-ResRental'!D89:D90))</f>
        <v>0</v>
      </c>
      <c r="E91" s="240">
        <f>-(D86=0)*(E86*'Assumptions-ResRental'!$I$20+SUM('CashFlow-ResRental'!E89:E90))</f>
        <v>0</v>
      </c>
      <c r="F91" s="240">
        <f>-(E86=0)*(F86*'Assumptions-ResRental'!$I$20+SUM('CashFlow-ResRental'!F89:F90))</f>
        <v>0</v>
      </c>
      <c r="G91" s="240">
        <f>-(F86=0)*(G86*'Assumptions-ResRental'!$I$20+SUM('CashFlow-ResRental'!G89:G90))</f>
        <v>0</v>
      </c>
      <c r="H91" s="240">
        <f>-(G86=0)*(H86*'Assumptions-ResRental'!$I$20+SUM('CashFlow-ResRental'!H89:H90))</f>
        <v>0</v>
      </c>
      <c r="I91" s="240">
        <f>-(H86=0)*(I86*'Assumptions-ResRental'!$I$20+SUM('CashFlow-ResRental'!I89:I90))</f>
        <v>0</v>
      </c>
      <c r="J91" s="240">
        <f>-(I86=0)*(J86*'Assumptions-ResRental'!$I$20+SUM('CashFlow-ResRental'!J89:J90))</f>
        <v>-1111324.0934832792</v>
      </c>
      <c r="K91" s="240">
        <f>-(J86=0)*(K86*'Assumptions-ResRental'!$I$20+SUM('CashFlow-ResRental'!K89:K90))</f>
        <v>0</v>
      </c>
      <c r="L91" s="240">
        <f>-(K86=0)*(L86*'Assumptions-ResRental'!$I$20+SUM('CashFlow-ResRental'!L89:L90))</f>
        <v>0</v>
      </c>
      <c r="M91" s="240">
        <f>-(L86=0)*(M86*'Assumptions-ResRental'!$I$20+SUM('CashFlow-ResRental'!M89:M90))</f>
        <v>0</v>
      </c>
      <c r="N91" s="248">
        <f>-(M86=0)*(N86*'Assumptions-ResRental'!$I$20+SUM('CashFlow-ResRental'!N89:N90))</f>
        <v>0</v>
      </c>
    </row>
    <row r="92" spans="2:14" x14ac:dyDescent="0.2">
      <c r="B92" s="4" t="s">
        <v>305</v>
      </c>
      <c r="C92" s="12"/>
      <c r="D92" s="242">
        <f>SUM(D89:D91)</f>
        <v>0</v>
      </c>
      <c r="E92" s="242">
        <f t="shared" ref="E92" si="31">SUM(E89:E91)</f>
        <v>0</v>
      </c>
      <c r="F92" s="242">
        <f t="shared" ref="F92" si="32">SUM(F89:F91)</f>
        <v>0</v>
      </c>
      <c r="G92" s="242">
        <f t="shared" ref="G92" si="33">SUM(G89:G91)</f>
        <v>0</v>
      </c>
      <c r="H92" s="242">
        <f t="shared" ref="H92" si="34">SUM(H89:H91)</f>
        <v>0</v>
      </c>
      <c r="I92" s="242">
        <f t="shared" ref="I92" si="35">SUM(I89:I91)</f>
        <v>0</v>
      </c>
      <c r="J92" s="242">
        <f t="shared" ref="J92" si="36">SUM(J89:J91)</f>
        <v>-1274953.0312714381</v>
      </c>
      <c r="K92" s="242">
        <f t="shared" ref="K92" si="37">SUM(K89:K91)</f>
        <v>-168474.1579246567</v>
      </c>
      <c r="L92" s="242">
        <f t="shared" ref="L92" si="38">SUM(L89:L91)</f>
        <v>-173463.46170530643</v>
      </c>
      <c r="M92" s="242">
        <f t="shared" ref="M92" si="39">SUM(M89:M91)</f>
        <v>-178601.14618023389</v>
      </c>
      <c r="N92" s="247">
        <f t="shared" ref="N92" si="40">SUM(N89:N91)</f>
        <v>-183891.63680188457</v>
      </c>
    </row>
    <row r="93" spans="2:14" x14ac:dyDescent="0.2">
      <c r="B93" s="4"/>
      <c r="C93" s="12"/>
      <c r="D93" s="242"/>
      <c r="E93" s="242"/>
      <c r="F93" s="242"/>
      <c r="G93" s="242"/>
      <c r="H93" s="242"/>
      <c r="I93" s="242"/>
      <c r="J93" s="210"/>
      <c r="K93" s="210"/>
      <c r="L93" s="210"/>
      <c r="M93" s="210"/>
      <c r="N93" s="253"/>
    </row>
    <row r="94" spans="2:14" x14ac:dyDescent="0.2">
      <c r="B94" s="4" t="s">
        <v>306</v>
      </c>
      <c r="C94" s="12"/>
      <c r="D94" s="241">
        <f>D86+D92</f>
        <v>0</v>
      </c>
      <c r="E94" s="241">
        <f t="shared" ref="E94:N94" si="41">E86+E92</f>
        <v>0</v>
      </c>
      <c r="F94" s="241">
        <f t="shared" si="41"/>
        <v>0</v>
      </c>
      <c r="G94" s="241">
        <f t="shared" si="41"/>
        <v>0</v>
      </c>
      <c r="H94" s="241">
        <f t="shared" si="41"/>
        <v>0</v>
      </c>
      <c r="I94" s="241">
        <f t="shared" si="41"/>
        <v>0</v>
      </c>
      <c r="J94" s="241">
        <f t="shared" si="41"/>
        <v>2974890.4063000223</v>
      </c>
      <c r="K94" s="241">
        <f t="shared" si="41"/>
        <v>4205682.1829165975</v>
      </c>
      <c r="L94" s="241">
        <f t="shared" si="41"/>
        <v>4328671.5215066886</v>
      </c>
      <c r="M94" s="241">
        <f t="shared" si="41"/>
        <v>4455286.9177165339</v>
      </c>
      <c r="N94" s="249">
        <f t="shared" si="41"/>
        <v>4585635.8808239689</v>
      </c>
    </row>
    <row r="95" spans="2:14" x14ac:dyDescent="0.2">
      <c r="B95" s="4"/>
      <c r="C95" s="1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7"/>
    </row>
    <row r="96" spans="2:14" x14ac:dyDescent="0.2">
      <c r="B96" s="4" t="s">
        <v>308</v>
      </c>
      <c r="C96" s="12"/>
      <c r="D96" s="242">
        <f>-D94*'Assumptions-ResRental'!$I$20</f>
        <v>0</v>
      </c>
      <c r="E96" s="242">
        <f>-E94*'Assumptions-ResRental'!$I$20</f>
        <v>0</v>
      </c>
      <c r="F96" s="242">
        <f>-F94*'Assumptions-ResRental'!$I$20</f>
        <v>0</v>
      </c>
      <c r="G96" s="242">
        <f>-G94*'Assumptions-ResRental'!$I$20</f>
        <v>0</v>
      </c>
      <c r="H96" s="242">
        <f>-H94*'Assumptions-ResRental'!$I$20</f>
        <v>0</v>
      </c>
      <c r="I96" s="242">
        <f>-I94*'Assumptions-ResRental'!$I$20</f>
        <v>0</v>
      </c>
      <c r="J96" s="242">
        <f>-J94*'Assumptions-ResRental'!$I$20</f>
        <v>-892467.1218900067</v>
      </c>
      <c r="K96" s="242">
        <f>-K94*'Assumptions-ResRental'!$I$20</f>
        <v>-1261704.6548749793</v>
      </c>
      <c r="L96" s="242">
        <f>-L94*'Assumptions-ResRental'!$I$20</f>
        <v>-1298601.4564520065</v>
      </c>
      <c r="M96" s="242">
        <f>-M94*'Assumptions-ResRental'!$I$20</f>
        <v>-1336586.0753149602</v>
      </c>
      <c r="N96" s="247">
        <f>-N94*'Assumptions-ResRental'!$I$20</f>
        <v>-1375690.7642471907</v>
      </c>
    </row>
    <row r="97" spans="2:14" x14ac:dyDescent="0.2">
      <c r="B97" s="4"/>
      <c r="C97" s="1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7"/>
    </row>
    <row r="98" spans="2:14" x14ac:dyDescent="0.2">
      <c r="B98" s="4" t="s">
        <v>310</v>
      </c>
      <c r="C98" s="12"/>
      <c r="D98" s="241">
        <f>SUM(D94:D96)</f>
        <v>0</v>
      </c>
      <c r="E98" s="241">
        <f t="shared" ref="E98:N98" si="42">SUM(E94:E96)</f>
        <v>0</v>
      </c>
      <c r="F98" s="241">
        <f t="shared" si="42"/>
        <v>0</v>
      </c>
      <c r="G98" s="241">
        <f t="shared" si="42"/>
        <v>0</v>
      </c>
      <c r="H98" s="241">
        <f t="shared" si="42"/>
        <v>0</v>
      </c>
      <c r="I98" s="241">
        <f t="shared" si="42"/>
        <v>0</v>
      </c>
      <c r="J98" s="241">
        <f t="shared" si="42"/>
        <v>2082423.2844100157</v>
      </c>
      <c r="K98" s="241">
        <f t="shared" si="42"/>
        <v>2943977.5280416179</v>
      </c>
      <c r="L98" s="241">
        <f t="shared" si="42"/>
        <v>3030070.0650546821</v>
      </c>
      <c r="M98" s="241">
        <f t="shared" si="42"/>
        <v>3118700.8424015734</v>
      </c>
      <c r="N98" s="249">
        <f t="shared" si="42"/>
        <v>3209945.1165767782</v>
      </c>
    </row>
    <row r="99" spans="2:14" x14ac:dyDescent="0.2">
      <c r="B99" s="4"/>
      <c r="C99" s="1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7"/>
    </row>
    <row r="100" spans="2:14" x14ac:dyDescent="0.2">
      <c r="B100" s="4" t="s">
        <v>283</v>
      </c>
      <c r="C100" s="12"/>
      <c r="D100" s="242">
        <f>-SUM(D71:D80)*'Assumptions-ResRental'!$I$22*(1+'Assumptions-Overall'!$C$40)^('CashFlow-ResRental'!D$7-1)</f>
        <v>0</v>
      </c>
      <c r="E100" s="242">
        <f>-SUM(E71:E80)*'Assumptions-ResRental'!$I$22*(1+'Assumptions-Overall'!$C$40)^('CashFlow-ResRental'!E$7-1)</f>
        <v>0</v>
      </c>
      <c r="F100" s="242">
        <f>-SUM(F71:F80)*'Assumptions-ResRental'!$I$22*(1+'Assumptions-Overall'!$C$40)^('CashFlow-ResRental'!F$7-1)</f>
        <v>0</v>
      </c>
      <c r="G100" s="242">
        <f>-SUM(G71:G80)*'Assumptions-ResRental'!$I$22*(1+'Assumptions-Overall'!$C$40)^('CashFlow-ResRental'!G$7-1)</f>
        <v>0</v>
      </c>
      <c r="H100" s="242">
        <f>-SUM(H71:H80)*'Assumptions-ResRental'!$I$22*(1+'Assumptions-Overall'!$C$40)^('CashFlow-ResRental'!H$7-1)</f>
        <v>0</v>
      </c>
      <c r="I100" s="242">
        <f>-SUM(I71:I80)*'Assumptions-ResRental'!$I$22*(1+'Assumptions-Overall'!$C$40)^('CashFlow-ResRental'!I$7-1)</f>
        <v>0</v>
      </c>
      <c r="J100" s="242">
        <f>-SUM(J71:J80)*'Assumptions-ResRental'!$I$22*(1+'Assumptions-Overall'!$C$40)^('CashFlow-ResRental'!J$7-1)</f>
        <v>-49433.765076300595</v>
      </c>
      <c r="K100" s="242">
        <f>-SUM(K71:K80)*'Assumptions-ResRental'!$I$22*(1+'Assumptions-Overall'!$C$40)^('CashFlow-ResRental'!K$7-1)</f>
        <v>-50916.778028589615</v>
      </c>
      <c r="L100" s="242">
        <f>-SUM(L71:L80)*'Assumptions-ResRental'!$I$22*(1+'Assumptions-Overall'!$C$40)^('CashFlow-ResRental'!L$7-1)</f>
        <v>-52444.281369447301</v>
      </c>
      <c r="M100" s="242">
        <f>-SUM(M71:M80)*'Assumptions-ResRental'!$I$22*(1+'Assumptions-Overall'!$C$40)^('CashFlow-ResRental'!M$7-1)</f>
        <v>-54017.609810530717</v>
      </c>
      <c r="N100" s="247"/>
    </row>
    <row r="101" spans="2:14" x14ac:dyDescent="0.2">
      <c r="B101" s="4"/>
      <c r="C101" s="1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7"/>
    </row>
    <row r="102" spans="2:14" x14ac:dyDescent="0.2">
      <c r="B102" s="4" t="s">
        <v>309</v>
      </c>
      <c r="C102" s="12"/>
      <c r="D102" s="241">
        <f>SUM(D98:D100)</f>
        <v>0</v>
      </c>
      <c r="E102" s="241">
        <f t="shared" ref="E102:M102" si="43">SUM(E98:E100)</f>
        <v>0</v>
      </c>
      <c r="F102" s="241">
        <f t="shared" si="43"/>
        <v>0</v>
      </c>
      <c r="G102" s="241">
        <f t="shared" si="43"/>
        <v>0</v>
      </c>
      <c r="H102" s="241">
        <f t="shared" si="43"/>
        <v>0</v>
      </c>
      <c r="I102" s="241">
        <f t="shared" si="43"/>
        <v>0</v>
      </c>
      <c r="J102" s="241">
        <f t="shared" si="43"/>
        <v>2032989.5193337151</v>
      </c>
      <c r="K102" s="241">
        <f t="shared" si="43"/>
        <v>2893060.7500130283</v>
      </c>
      <c r="L102" s="241">
        <f t="shared" si="43"/>
        <v>2977625.7836852348</v>
      </c>
      <c r="M102" s="241">
        <f t="shared" si="43"/>
        <v>3064683.2325910428</v>
      </c>
      <c r="N102" s="247"/>
    </row>
    <row r="103" spans="2:14" x14ac:dyDescent="0.2">
      <c r="B103" s="4"/>
      <c r="C103" s="1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7"/>
    </row>
    <row r="104" spans="2:14" x14ac:dyDescent="0.2">
      <c r="B104" s="53" t="s">
        <v>209</v>
      </c>
      <c r="C104" s="1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7"/>
    </row>
    <row r="105" spans="2:14" x14ac:dyDescent="0.2">
      <c r="B105" s="4" t="s">
        <v>311</v>
      </c>
      <c r="C105" s="12"/>
      <c r="D105" s="242">
        <f>-(AND(D$8&gt;=YEAR(PhaseIIConBegin),D$8&lt;=YEAR(PhaseIIConEnd)))*SUM($D68:$N68)*('Assumptions-Overall'!$M$10+'Assumptions-Overall'!$M$12)*(1+'Assumptions-Overall'!$C$41)^('CashFlow-ResRental'!D$7-1)/(YEAR(PhaseIIConEnd)-YEAR(PhaseIIConBegin)+1)</f>
        <v>0</v>
      </c>
      <c r="E105" s="242">
        <f>-(AND(E$8&gt;=YEAR(PhaseIIConBegin),E$8&lt;=YEAR(PhaseIIConEnd)))*SUM($D68:$N68)*('Assumptions-Overall'!$M$10+'Assumptions-Overall'!$M$12)*(1+'Assumptions-Overall'!$C$41)^('CashFlow-ResRental'!E$7-1)/(YEAR(PhaseIIConEnd)-YEAR(PhaseIIConBegin)+1)</f>
        <v>0</v>
      </c>
      <c r="F105" s="242">
        <f>-(AND(F$8&gt;=YEAR(PhaseIIConBegin),F$8&lt;=YEAR(PhaseIIConEnd)))*SUM($D68:$N68)*('Assumptions-Overall'!$M$10+'Assumptions-Overall'!$M$12)*(1+'Assumptions-Overall'!$C$41)^('CashFlow-ResRental'!F$7-1)/(YEAR(PhaseIIConEnd)-YEAR(PhaseIIConBegin)+1)</f>
        <v>0</v>
      </c>
      <c r="G105" s="242">
        <f>-(AND(G$8&gt;=YEAR(PhaseIIConBegin),G$8&lt;=YEAR(PhaseIIConEnd)))*SUM($D68:$N68)*('Assumptions-Overall'!$M$10+'Assumptions-Overall'!$M$12)*(1+'Assumptions-Overall'!$C$41)^('CashFlow-ResRental'!G$7-1)/(YEAR(PhaseIIConEnd)-YEAR(PhaseIIConBegin)+1)</f>
        <v>0</v>
      </c>
      <c r="H105" s="242">
        <f>-(AND(H$8&gt;=YEAR(PhaseIIConBegin),H$8&lt;=YEAR(PhaseIIConEnd)))*SUM($D68:$N68)*('Assumptions-Overall'!$M$10+'Assumptions-Overall'!$M$12)*(1+'Assumptions-Overall'!$C$41)^('CashFlow-ResRental'!H$7-1)/(YEAR(PhaseIIConEnd)-YEAR(PhaseIIConBegin)+1)</f>
        <v>-26374255.330983326</v>
      </c>
      <c r="I105" s="242">
        <f>-(AND(I$8&gt;=YEAR(PhaseIIConBegin),I$8&lt;=YEAR(PhaseIIConEnd)))*SUM($D68:$N68)*('Assumptions-Overall'!$M$10+'Assumptions-Overall'!$M$12)*(1+'Assumptions-Overall'!$C$41)^('CashFlow-ResRental'!I$7-1)/(YEAR(PhaseIIConEnd)-YEAR(PhaseIIConBegin)+1)</f>
        <v>-27165482.990912825</v>
      </c>
      <c r="J105" s="242">
        <f>-(AND(J$8&gt;=YEAR(PhaseIIConBegin),J$8&lt;=YEAR(PhaseIIConEnd)))*SUM($D68:$N68)*('Assumptions-Overall'!$M$10+'Assumptions-Overall'!$M$12)*(1+'Assumptions-Overall'!$C$41)^('CashFlow-ResRental'!J$7-1)/(YEAR(PhaseIIConEnd)-YEAR(PhaseIIConBegin)+1)</f>
        <v>0</v>
      </c>
      <c r="K105" s="242">
        <f>-(AND(K$8&gt;=YEAR(PhaseIIConBegin),K$8&lt;=YEAR(PhaseIIConEnd)))*SUM($D68:$N68)*('Assumptions-Overall'!$M$10+'Assumptions-Overall'!$M$12)*(1+'Assumptions-Overall'!$C$41)^('CashFlow-ResRental'!K$7-1)/(YEAR(PhaseIIConEnd)-YEAR(PhaseIIConBegin)+1)</f>
        <v>0</v>
      </c>
      <c r="L105" s="242">
        <f>-(AND(L$8&gt;=YEAR(PhaseIIConBegin),L$8&lt;=YEAR(PhaseIIConEnd)))*SUM($D68:$N68)*('Assumptions-Overall'!$M$10+'Assumptions-Overall'!$M$12)*(1+'Assumptions-Overall'!$C$41)^('CashFlow-ResRental'!L$7-1)/(YEAR(PhaseIIConEnd)-YEAR(PhaseIIConBegin)+1)</f>
        <v>0</v>
      </c>
      <c r="M105" s="242">
        <f>-(AND(M$8&gt;=YEAR(PhaseIIConBegin),M$8&lt;=YEAR(PhaseIIConEnd)))*SUM($D68:$N68)*('Assumptions-Overall'!$M$10+'Assumptions-Overall'!$M$12)*(1+'Assumptions-Overall'!$C$41)^('CashFlow-ResRental'!M$7-1)/(YEAR(PhaseIIConEnd)-YEAR(PhaseIIConBegin)+1)</f>
        <v>0</v>
      </c>
      <c r="N105" s="247"/>
    </row>
    <row r="106" spans="2:14" x14ac:dyDescent="0.2">
      <c r="B106" s="4" t="s">
        <v>312</v>
      </c>
      <c r="C106" s="12"/>
      <c r="D106" s="242">
        <f>(AND(D$8&gt;=YEAR(PhaseIIPreconBegin),D$8&lt;=YEAR(PhaseIIConEnd)))*SUM($D105:$N105)*'Assumptions-Overall'!$H$43/(YEAR(PhaseIIConEnd)-YEAR(PhaseIIPreconBegin)+1)</f>
        <v>0</v>
      </c>
      <c r="E106" s="242">
        <f>(AND(E$8&gt;=YEAR(PhaseIIPreconBegin),E$8&lt;=YEAR(PhaseIIConEnd)))*SUM($D105:$N105)*'Assumptions-Overall'!$H$43/(YEAR(PhaseIIConEnd)-YEAR(PhaseIIPreconBegin)+1)</f>
        <v>0</v>
      </c>
      <c r="F106" s="242">
        <f>(AND(F$8&gt;=YEAR(PhaseIIPreconBegin),F$8&lt;=YEAR(PhaseIIConEnd)))*SUM($D105:$N105)*'Assumptions-Overall'!$H$43/(YEAR(PhaseIIConEnd)-YEAR(PhaseIIPreconBegin)+1)</f>
        <v>-803096.07482844219</v>
      </c>
      <c r="G106" s="242">
        <f>(AND(G$8&gt;=YEAR(PhaseIIPreconBegin),G$8&lt;=YEAR(PhaseIIConEnd)))*SUM($D105:$N105)*'Assumptions-Overall'!$H$43/(YEAR(PhaseIIConEnd)-YEAR(PhaseIIPreconBegin)+1)</f>
        <v>-803096.07482844219</v>
      </c>
      <c r="H106" s="242">
        <f>(AND(H$8&gt;=YEAR(PhaseIIPreconBegin),H$8&lt;=YEAR(PhaseIIConEnd)))*SUM($D105:$N105)*'Assumptions-Overall'!$H$43/(YEAR(PhaseIIConEnd)-YEAR(PhaseIIPreconBegin)+1)</f>
        <v>-803096.07482844219</v>
      </c>
      <c r="I106" s="242">
        <f>(AND(I$8&gt;=YEAR(PhaseIIPreconBegin),I$8&lt;=YEAR(PhaseIIConEnd)))*SUM($D105:$N105)*'Assumptions-Overall'!$H$43/(YEAR(PhaseIIConEnd)-YEAR(PhaseIIPreconBegin)+1)</f>
        <v>-803096.07482844219</v>
      </c>
      <c r="J106" s="242">
        <f>(AND(J$8&gt;=YEAR(PhaseIIPreconBegin),J$8&lt;=YEAR(PhaseIIConEnd)))*SUM($D105:$N105)*'Assumptions-Overall'!$H$43/(YEAR(PhaseIIConEnd)-YEAR(PhaseIIPreconBegin)+1)</f>
        <v>0</v>
      </c>
      <c r="K106" s="242">
        <f>(AND(K$8&gt;=YEAR(PhaseIIPreconBegin),K$8&lt;=YEAR(PhaseIIConEnd)))*SUM($D105:$N105)*'Assumptions-Overall'!$H$43/(YEAR(PhaseIIConEnd)-YEAR(PhaseIIPreconBegin)+1)</f>
        <v>0</v>
      </c>
      <c r="L106" s="242">
        <f>(AND(L$8&gt;=YEAR(PhaseIIPreconBegin),L$8&lt;=YEAR(PhaseIIConEnd)))*SUM($D105:$N105)*'Assumptions-Overall'!$H$43/(YEAR(PhaseIIConEnd)-YEAR(PhaseIIPreconBegin)+1)</f>
        <v>0</v>
      </c>
      <c r="M106" s="242">
        <f>(AND(M$8&gt;=YEAR(PhaseIIPreconBegin),M$8&lt;=YEAR(PhaseIIConEnd)))*SUM($D105:$N105)*'Assumptions-Overall'!$H$43/(YEAR(PhaseIIConEnd)-YEAR(PhaseIIPreconBegin)+1)</f>
        <v>0</v>
      </c>
      <c r="N106" s="247"/>
    </row>
    <row r="107" spans="2:14" x14ac:dyDescent="0.2">
      <c r="B107" s="4" t="s">
        <v>183</v>
      </c>
      <c r="C107" s="12"/>
      <c r="D107" s="242">
        <f>(AND(D$8&gt;=YEAR(PhaseIIPreconBegin),D$8&lt;=YEAR(PhaseIIConEnd)))*SUM($D105:$N105)*'Assumptions-Overall'!$H$44/(YEAR(PhaseIIConEnd)-YEAR(PhaseIIPreconBegin)+1)</f>
        <v>0</v>
      </c>
      <c r="E107" s="242">
        <f>(AND(E$8&gt;=YEAR(PhaseIIPreconBegin),E$8&lt;=YEAR(PhaseIIConEnd)))*SUM($D105:$N105)*'Assumptions-Overall'!$H$44/(YEAR(PhaseIIConEnd)-YEAR(PhaseIIPreconBegin)+1)</f>
        <v>0</v>
      </c>
      <c r="F107" s="242">
        <f>(AND(F$8&gt;=YEAR(PhaseIIPreconBegin),F$8&lt;=YEAR(PhaseIIConEnd)))*SUM($D105:$N105)*'Assumptions-Overall'!$H$44/(YEAR(PhaseIIConEnd)-YEAR(PhaseIIPreconBegin)+1)</f>
        <v>-2007740.1870711055</v>
      </c>
      <c r="G107" s="242">
        <f>(AND(G$8&gt;=YEAR(PhaseIIPreconBegin),G$8&lt;=YEAR(PhaseIIConEnd)))*SUM($D105:$N105)*'Assumptions-Overall'!$H$44/(YEAR(PhaseIIConEnd)-YEAR(PhaseIIPreconBegin)+1)</f>
        <v>-2007740.1870711055</v>
      </c>
      <c r="H107" s="242">
        <f>(AND(H$8&gt;=YEAR(PhaseIIPreconBegin),H$8&lt;=YEAR(PhaseIIConEnd)))*SUM($D105:$N105)*'Assumptions-Overall'!$H$44/(YEAR(PhaseIIConEnd)-YEAR(PhaseIIPreconBegin)+1)</f>
        <v>-2007740.1870711055</v>
      </c>
      <c r="I107" s="242">
        <f>(AND(I$8&gt;=YEAR(PhaseIIPreconBegin),I$8&lt;=YEAR(PhaseIIConEnd)))*SUM($D105:$N105)*'Assumptions-Overall'!$H$44/(YEAR(PhaseIIConEnd)-YEAR(PhaseIIPreconBegin)+1)</f>
        <v>-2007740.1870711055</v>
      </c>
      <c r="J107" s="242">
        <f>(AND(J$8&gt;=YEAR(PhaseIIPreconBegin),J$8&lt;=YEAR(PhaseIIConEnd)))*SUM($D105:$N105)*'Assumptions-Overall'!$H$44/(YEAR(PhaseIIConEnd)-YEAR(PhaseIIPreconBegin)+1)</f>
        <v>0</v>
      </c>
      <c r="K107" s="242">
        <f>(AND(K$8&gt;=YEAR(PhaseIIPreconBegin),K$8&lt;=YEAR(PhaseIIConEnd)))*SUM($D105:$N105)*'Assumptions-Overall'!$H$44/(YEAR(PhaseIIConEnd)-YEAR(PhaseIIPreconBegin)+1)</f>
        <v>0</v>
      </c>
      <c r="L107" s="242">
        <f>(AND(L$8&gt;=YEAR(PhaseIIPreconBegin),L$8&lt;=YEAR(PhaseIIConEnd)))*SUM($D105:$N105)*'Assumptions-Overall'!$H$44/(YEAR(PhaseIIConEnd)-YEAR(PhaseIIPreconBegin)+1)</f>
        <v>0</v>
      </c>
      <c r="M107" s="242">
        <f>(AND(M$8&gt;=YEAR(PhaseIIPreconBegin),M$8&lt;=YEAR(PhaseIIConEnd)))*SUM($D105:$N105)*'Assumptions-Overall'!$H$44/(YEAR(PhaseIIConEnd)-YEAR(PhaseIIPreconBegin)+1)</f>
        <v>0</v>
      </c>
      <c r="N107" s="247"/>
    </row>
    <row r="108" spans="2:14" x14ac:dyDescent="0.2">
      <c r="B108" s="4" t="s">
        <v>184</v>
      </c>
      <c r="C108" s="12"/>
      <c r="D108" s="240">
        <f>SUM(D105:D107)*'Assumptions-Overall'!$H$45</f>
        <v>0</v>
      </c>
      <c r="E108" s="240">
        <f>SUM(E105:E107)*'Assumptions-Overall'!$H$45</f>
        <v>0</v>
      </c>
      <c r="F108" s="240">
        <f>SUM(F105:F107)*'Assumptions-Overall'!$H$45</f>
        <v>-84325.087856986429</v>
      </c>
      <c r="G108" s="240">
        <f>SUM(G105:G107)*'Assumptions-Overall'!$H$45</f>
        <v>-84325.087856986429</v>
      </c>
      <c r="H108" s="240">
        <f>SUM(H105:H107)*'Assumptions-Overall'!$H$45</f>
        <v>-875552.74778648617</v>
      </c>
      <c r="I108" s="240">
        <f>SUM(I105:I107)*'Assumptions-Overall'!$H$45</f>
        <v>-899289.57758437109</v>
      </c>
      <c r="J108" s="240">
        <f>SUM(J105:J107)*'Assumptions-Overall'!$H$45</f>
        <v>0</v>
      </c>
      <c r="K108" s="240">
        <f>SUM(K105:K107)*'Assumptions-Overall'!$H$45</f>
        <v>0</v>
      </c>
      <c r="L108" s="240">
        <f>SUM(L105:L107)*'Assumptions-Overall'!$H$45</f>
        <v>0</v>
      </c>
      <c r="M108" s="240">
        <f>SUM(M105:M107)*'Assumptions-Overall'!$H$45</f>
        <v>0</v>
      </c>
      <c r="N108" s="247"/>
    </row>
    <row r="109" spans="2:14" x14ac:dyDescent="0.2">
      <c r="B109" s="4" t="s">
        <v>313</v>
      </c>
      <c r="C109" s="12"/>
      <c r="D109" s="242">
        <f>SUM(D105:D108)</f>
        <v>0</v>
      </c>
      <c r="E109" s="242">
        <f t="shared" ref="E109" si="44">SUM(E105:E108)</f>
        <v>0</v>
      </c>
      <c r="F109" s="242">
        <f t="shared" ref="F109" si="45">SUM(F105:F108)</f>
        <v>-2895161.3497565342</v>
      </c>
      <c r="G109" s="242">
        <f t="shared" ref="G109" si="46">SUM(G105:G108)</f>
        <v>-2895161.3497565342</v>
      </c>
      <c r="H109" s="242">
        <f t="shared" ref="H109" si="47">SUM(H105:H108)</f>
        <v>-30060644.340669356</v>
      </c>
      <c r="I109" s="242">
        <f t="shared" ref="I109" si="48">SUM(I105:I108)</f>
        <v>-30875608.830396742</v>
      </c>
      <c r="J109" s="242">
        <f t="shared" ref="J109" si="49">SUM(J105:J108)</f>
        <v>0</v>
      </c>
      <c r="K109" s="242">
        <f t="shared" ref="K109" si="50">SUM(K105:K108)</f>
        <v>0</v>
      </c>
      <c r="L109" s="242">
        <f t="shared" ref="L109" si="51">SUM(L105:L108)</f>
        <v>0</v>
      </c>
      <c r="M109" s="242">
        <f t="shared" ref="M109" si="52">SUM(M105:M108)</f>
        <v>0</v>
      </c>
      <c r="N109" s="247"/>
    </row>
    <row r="110" spans="2:14" x14ac:dyDescent="0.2">
      <c r="B110" s="4"/>
      <c r="C110" s="1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7"/>
    </row>
    <row r="111" spans="2:14" x14ac:dyDescent="0.2">
      <c r="B111" s="4" t="s">
        <v>319</v>
      </c>
      <c r="C111" s="12"/>
      <c r="D111" s="242">
        <f>ABS((D$8=YEAR(PhaseIIComplete))*MAX(SUM(D77:D80)*'Assumptions-ResRental'!$R$15,'Assumptions-ResRental'!$R$14*'CashFlow-ResRental'!$D109:$N109))</f>
        <v>0</v>
      </c>
      <c r="E111" s="242">
        <f>ABS((E$8=YEAR(PhaseIIComplete))*MAX(SUM(E77:E80)*'Assumptions-ResRental'!$R$15,'Assumptions-ResRental'!$R$14*'CashFlow-ResRental'!$D109:$N109))</f>
        <v>0</v>
      </c>
      <c r="F111" s="242">
        <f>ABS((F$8=YEAR(PhaseIIComplete))*MAX(SUM(F77:F80)*'Assumptions-ResRental'!$R$15,'Assumptions-ResRental'!$R$14*'CashFlow-ResRental'!$D109:$N109))</f>
        <v>0</v>
      </c>
      <c r="G111" s="242">
        <f>ABS((G$8=YEAR(PhaseIIComplete))*MAX(SUM(G77:G80)*'Assumptions-ResRental'!$R$15,'Assumptions-ResRental'!$R$14*'CashFlow-ResRental'!$D109:$N109))</f>
        <v>0</v>
      </c>
      <c r="H111" s="242">
        <f>ABS((H$8=YEAR(PhaseIIComplete))*MAX(SUM(H77:H80)*'Assumptions-ResRental'!$R$15,'Assumptions-ResRental'!$R$14*'CashFlow-ResRental'!$D109:$N109))</f>
        <v>0</v>
      </c>
      <c r="I111" s="242">
        <f>ABS((I$8=YEAR(PhaseIIComplete))*MAX(SUM(I77:I80)*'Assumptions-ResRental'!$R$15,'Assumptions-ResRental'!$R$14*'CashFlow-ResRental'!$D109:$N109))</f>
        <v>0</v>
      </c>
      <c r="J111" s="242">
        <f>ABS((J$8=YEAR(PhaseIIComplete))*MAX(SUM(J77:J80)*'Assumptions-ResRental'!$R$15,'Assumptions-ResRental'!$R$14*'CashFlow-ResRental'!$D109:$N109))</f>
        <v>3600000</v>
      </c>
      <c r="K111" s="242">
        <f>ABS((K$8=YEAR(PhaseIIComplete))*MAX(SUM(K77:K80)*'Assumptions-ResRental'!$R$15,'Assumptions-ResRental'!$R$14*'CashFlow-ResRental'!$D109:$N109))</f>
        <v>0</v>
      </c>
      <c r="L111" s="242">
        <f>ABS((L$8=YEAR(PhaseIIComplete))*MAX(SUM(L77:L80)*'Assumptions-ResRental'!$R$15,'Assumptions-ResRental'!$R$14*'CashFlow-ResRental'!$D109:$N109))</f>
        <v>0</v>
      </c>
      <c r="M111" s="242">
        <f>ABS((M$8=YEAR(PhaseIIComplete))*MAX(SUM(M77:M80)*'Assumptions-ResRental'!$R$15,'Assumptions-ResRental'!$R$14*'CashFlow-ResRental'!$D109:$N109))</f>
        <v>0</v>
      </c>
      <c r="N111" s="247"/>
    </row>
    <row r="112" spans="2:14" x14ac:dyDescent="0.2">
      <c r="B112" s="4"/>
      <c r="C112" s="1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7"/>
    </row>
    <row r="113" spans="2:14" x14ac:dyDescent="0.2">
      <c r="B113" s="53" t="s">
        <v>314</v>
      </c>
      <c r="C113" s="1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7"/>
    </row>
    <row r="114" spans="2:14" x14ac:dyDescent="0.2">
      <c r="B114" s="4" t="s">
        <v>316</v>
      </c>
      <c r="C114" s="12"/>
      <c r="D114" s="242">
        <f>(D$8=YEAR('Assumptions-Overall'!$C$30))*E98/'Assumptions-Overall'!$Y$9</f>
        <v>0</v>
      </c>
      <c r="E114" s="242">
        <f>(E$8=YEAR('Assumptions-Overall'!$C$30))*F98/'Assumptions-Overall'!$Y$9</f>
        <v>0</v>
      </c>
      <c r="F114" s="242">
        <f>(F$8=YEAR('Assumptions-Overall'!$C$30))*G98/'Assumptions-Overall'!$Y$9</f>
        <v>0</v>
      </c>
      <c r="G114" s="242">
        <f>(G$8=YEAR('Assumptions-Overall'!$C$30))*H98/'Assumptions-Overall'!$Y$9</f>
        <v>0</v>
      </c>
      <c r="H114" s="242">
        <f>(H$8=YEAR('Assumptions-Overall'!$C$30))*I98/'Assumptions-Overall'!$Y$9</f>
        <v>0</v>
      </c>
      <c r="I114" s="242">
        <f>(I$8=YEAR('Assumptions-Overall'!$C$30))*J98/'Assumptions-Overall'!$Y$9</f>
        <v>0</v>
      </c>
      <c r="J114" s="242">
        <f>(J$8=YEAR('Assumptions-Overall'!$C$30))*K98/'Assumptions-Overall'!$Y$9</f>
        <v>0</v>
      </c>
      <c r="K114" s="242">
        <f>(K$8=YEAR('Assumptions-Overall'!$C$30))*L98/'Assumptions-Overall'!$Y$9</f>
        <v>0</v>
      </c>
      <c r="L114" s="242">
        <f>(L$8=YEAR('Assumptions-Overall'!$C$30))*M98/'Assumptions-Overall'!$Y$9</f>
        <v>0</v>
      </c>
      <c r="M114" s="242">
        <f>(M$8=YEAR('Assumptions-Overall'!$C$30))*N98/'Assumptions-Overall'!$Y$9</f>
        <v>85598536.442047402</v>
      </c>
      <c r="N114" s="247"/>
    </row>
    <row r="115" spans="2:14" x14ac:dyDescent="0.2">
      <c r="B115" s="4" t="s">
        <v>317</v>
      </c>
      <c r="C115" s="12"/>
      <c r="D115" s="240">
        <f>-D114*'Assumptions-Overall'!$U$27</f>
        <v>0</v>
      </c>
      <c r="E115" s="240">
        <f>-E114*'Assumptions-Overall'!$U$27</f>
        <v>0</v>
      </c>
      <c r="F115" s="240">
        <f>-F114*'Assumptions-Overall'!$U$27</f>
        <v>0</v>
      </c>
      <c r="G115" s="240">
        <f>-G114*'Assumptions-Overall'!$U$27</f>
        <v>0</v>
      </c>
      <c r="H115" s="240">
        <f>-H114*'Assumptions-Overall'!$U$27</f>
        <v>0</v>
      </c>
      <c r="I115" s="240">
        <f>-I114*'Assumptions-Overall'!$U$27</f>
        <v>0</v>
      </c>
      <c r="J115" s="240">
        <f>-J114*'Assumptions-Overall'!$U$27</f>
        <v>0</v>
      </c>
      <c r="K115" s="240">
        <f>-K114*'Assumptions-Overall'!$U$27</f>
        <v>0</v>
      </c>
      <c r="L115" s="240">
        <f>-L114*'Assumptions-Overall'!$U$27</f>
        <v>0</v>
      </c>
      <c r="M115" s="240">
        <f>-M114*'Assumptions-Overall'!$U$27</f>
        <v>-855985.36442047404</v>
      </c>
      <c r="N115" s="247"/>
    </row>
    <row r="116" spans="2:14" x14ac:dyDescent="0.2">
      <c r="B116" s="4" t="s">
        <v>318</v>
      </c>
      <c r="C116" s="12"/>
      <c r="D116" s="242">
        <f>SUM(D114:D115)</f>
        <v>0</v>
      </c>
      <c r="E116" s="242">
        <f t="shared" ref="E116" si="53">SUM(E114:E115)</f>
        <v>0</v>
      </c>
      <c r="F116" s="242">
        <f t="shared" ref="F116" si="54">SUM(F114:F115)</f>
        <v>0</v>
      </c>
      <c r="G116" s="242">
        <f t="shared" ref="G116" si="55">SUM(G114:G115)</f>
        <v>0</v>
      </c>
      <c r="H116" s="242">
        <f t="shared" ref="H116" si="56">SUM(H114:H115)</f>
        <v>0</v>
      </c>
      <c r="I116" s="242">
        <f t="shared" ref="I116" si="57">SUM(I114:I115)</f>
        <v>0</v>
      </c>
      <c r="J116" s="242">
        <f t="shared" ref="J116" si="58">SUM(J114:J115)</f>
        <v>0</v>
      </c>
      <c r="K116" s="242">
        <f t="shared" ref="K116" si="59">SUM(K114:K115)</f>
        <v>0</v>
      </c>
      <c r="L116" s="242">
        <f t="shared" ref="L116" si="60">SUM(L114:L115)</f>
        <v>0</v>
      </c>
      <c r="M116" s="242">
        <f t="shared" ref="M116" si="61">SUM(M114:M115)</f>
        <v>84742551.077626929</v>
      </c>
      <c r="N116" s="247"/>
    </row>
    <row r="117" spans="2:14" x14ac:dyDescent="0.2">
      <c r="B117" s="4"/>
      <c r="C117" s="1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7"/>
    </row>
    <row r="118" spans="2:14" x14ac:dyDescent="0.2">
      <c r="B118" s="4" t="s">
        <v>315</v>
      </c>
      <c r="C118" s="12"/>
      <c r="D118" s="242">
        <f>D102+D109+D111+D116</f>
        <v>0</v>
      </c>
      <c r="E118" s="242">
        <f t="shared" ref="E118:M118" si="62">E102+E109+E111+E116</f>
        <v>0</v>
      </c>
      <c r="F118" s="242">
        <f t="shared" si="62"/>
        <v>-2895161.3497565342</v>
      </c>
      <c r="G118" s="242">
        <f t="shared" si="62"/>
        <v>-2895161.3497565342</v>
      </c>
      <c r="H118" s="242">
        <f t="shared" si="62"/>
        <v>-30060644.340669356</v>
      </c>
      <c r="I118" s="242">
        <f t="shared" si="62"/>
        <v>-30875608.830396742</v>
      </c>
      <c r="J118" s="242">
        <f t="shared" si="62"/>
        <v>5632989.5193337146</v>
      </c>
      <c r="K118" s="242">
        <f t="shared" si="62"/>
        <v>2893060.7500130283</v>
      </c>
      <c r="L118" s="242">
        <f t="shared" si="62"/>
        <v>2977625.7836852348</v>
      </c>
      <c r="M118" s="242">
        <f t="shared" si="62"/>
        <v>87807234.310217977</v>
      </c>
      <c r="N118" s="247"/>
    </row>
    <row r="119" spans="2:14" x14ac:dyDescent="0.2">
      <c r="B119" s="4" t="s">
        <v>320</v>
      </c>
      <c r="C119" s="254">
        <f>IFERROR(IRR(D118:M118),"n/a")</f>
        <v>9.4429033159807663E-2</v>
      </c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7"/>
    </row>
    <row r="120" spans="2:14" ht="12.75" thickBot="1" x14ac:dyDescent="0.25">
      <c r="B120" s="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6"/>
    </row>
    <row r="121" spans="2:14" x14ac:dyDescent="0.2">
      <c r="B121" s="250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2"/>
    </row>
    <row r="122" spans="2:14" x14ac:dyDescent="0.2">
      <c r="B122" s="243" t="s">
        <v>298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3"/>
    </row>
    <row r="123" spans="2:14" x14ac:dyDescent="0.2">
      <c r="B123" s="4" t="s">
        <v>293</v>
      </c>
      <c r="C123" s="12"/>
      <c r="D123" s="244">
        <f>(D$8&gt;=YEAR(PhaseIIIComplete))*SUMIFS(BuildingSummary!$C$20:$Q$20,BuildingSummary!$C$32:$Q$32,"Rental",BuildingSummary!$C$18:$Q$18,"III")+(D$8&gt;=YEAR(PhaseIIIComplete))*SUMIFS(BuildingSummary!$C$27:$Q$27,BuildingSummary!$C$32:$Q$32,"Rental",BuildingSummary!$C$18:$Q$18,"III")</f>
        <v>0</v>
      </c>
      <c r="E123" s="244">
        <f>(E$8&gt;=YEAR(PhaseIIIComplete))*SUMIFS(BuildingSummary!$C$20:$Q$20,BuildingSummary!$C$32:$Q$32,"Rental",BuildingSummary!$C$18:$Q$18,"III")+(E$8&gt;=YEAR(PhaseIIIComplete))*SUMIFS(BuildingSummary!$C$27:$Q$27,BuildingSummary!$C$32:$Q$32,"Rental",BuildingSummary!$C$18:$Q$18,"III")</f>
        <v>0</v>
      </c>
      <c r="F123" s="244">
        <f>(F$8&gt;=YEAR(PhaseIIIComplete))*SUMIFS(BuildingSummary!$C$20:$Q$20,BuildingSummary!$C$32:$Q$32,"Rental",BuildingSummary!$C$18:$Q$18,"III")+(F$8&gt;=YEAR(PhaseIIIComplete))*SUMIFS(BuildingSummary!$C$27:$Q$27,BuildingSummary!$C$32:$Q$32,"Rental",BuildingSummary!$C$18:$Q$18,"III")</f>
        <v>0</v>
      </c>
      <c r="G123" s="244">
        <f>(G$8&gt;=YEAR(PhaseIIIComplete))*SUMIFS(BuildingSummary!$C$20:$Q$20,BuildingSummary!$C$32:$Q$32,"Rental",BuildingSummary!$C$18:$Q$18,"III")+(G$8&gt;=YEAR(PhaseIIIComplete))*SUMIFS(BuildingSummary!$C$27:$Q$27,BuildingSummary!$C$32:$Q$32,"Rental",BuildingSummary!$C$18:$Q$18,"III")</f>
        <v>0</v>
      </c>
      <c r="H123" s="244">
        <f>(H$8&gt;=YEAR(PhaseIIIComplete))*SUMIFS(BuildingSummary!$C$20:$Q$20,BuildingSummary!$C$32:$Q$32,"Rental",BuildingSummary!$C$18:$Q$18,"III")+(H$8&gt;=YEAR(PhaseIIIComplete))*SUMIFS(BuildingSummary!$C$27:$Q$27,BuildingSummary!$C$32:$Q$32,"Rental",BuildingSummary!$C$18:$Q$18,"III")</f>
        <v>0</v>
      </c>
      <c r="I123" s="244">
        <f>(I$8&gt;=YEAR(PhaseIIIComplete))*SUMIFS(BuildingSummary!$C$20:$Q$20,BuildingSummary!$C$32:$Q$32,"Rental",BuildingSummary!$C$18:$Q$18,"III")+(I$8&gt;=YEAR(PhaseIIIComplete))*SUMIFS(BuildingSummary!$C$27:$Q$27,BuildingSummary!$C$32:$Q$32,"Rental",BuildingSummary!$C$18:$Q$18,"III")</f>
        <v>0</v>
      </c>
      <c r="J123" s="244">
        <f>(J$8&gt;=YEAR(PhaseIIIComplete))*SUMIFS(BuildingSummary!$C$20:$Q$20,BuildingSummary!$C$32:$Q$32,"Rental",BuildingSummary!$C$18:$Q$18,"III")+(J$8&gt;=YEAR(PhaseIIIComplete))*SUMIFS(BuildingSummary!$C$27:$Q$27,BuildingSummary!$C$32:$Q$32,"Rental",BuildingSummary!$C$18:$Q$18,"III")</f>
        <v>0</v>
      </c>
      <c r="K123" s="244">
        <f>(K$8&gt;=YEAR(PhaseIIIComplete))*SUMIFS(BuildingSummary!$C$20:$Q$20,BuildingSummary!$C$32:$Q$32,"Rental",BuildingSummary!$C$18:$Q$18,"III")+(K$8&gt;=YEAR(PhaseIIIComplete))*SUMIFS(BuildingSummary!$C$27:$Q$27,BuildingSummary!$C$32:$Q$32,"Rental",BuildingSummary!$C$18:$Q$18,"III")</f>
        <v>0</v>
      </c>
      <c r="L123" s="244">
        <f>(L$8&gt;=YEAR(PhaseIIIComplete))*SUMIFS(BuildingSummary!$C$20:$Q$20,BuildingSummary!$C$32:$Q$32,"Rental",BuildingSummary!$C$18:$Q$18,"III")+(L$8&gt;=YEAR(PhaseIIIComplete))*SUMIFS(BuildingSummary!$C$27:$Q$27,BuildingSummary!$C$32:$Q$32,"Rental",BuildingSummary!$C$18:$Q$18,"III")</f>
        <v>107818.18400000001</v>
      </c>
      <c r="M123" s="244">
        <f>(M$8&gt;=YEAR(PhaseIIIComplete))*SUMIFS(BuildingSummary!$C$20:$Q$20,BuildingSummary!$C$32:$Q$32,"Rental",BuildingSummary!$C$18:$Q$18,"III")+(M$8&gt;=YEAR(PhaseIIIComplete))*SUMIFS(BuildingSummary!$C$27:$Q$27,BuildingSummary!$C$32:$Q$32,"Rental",BuildingSummary!$C$18:$Q$18,"III")</f>
        <v>107818.18400000001</v>
      </c>
      <c r="N123" s="245">
        <f>(N$8&gt;=YEAR(PhaseIIIComplete))*SUMIFS(BuildingSummary!$C$20:$Q$20,BuildingSummary!$C$32:$Q$32,"Rental",BuildingSummary!$C$18:$Q$18,"III")+(N$8&gt;=YEAR(PhaseIIIComplete))*SUMIFS(BuildingSummary!$C$27:$Q$27,BuildingSummary!$C$32:$Q$32,"Rental",BuildingSummary!$C$18:$Q$18,"III")</f>
        <v>107818.18400000001</v>
      </c>
    </row>
    <row r="124" spans="2:14" x14ac:dyDescent="0.2">
      <c r="B124" s="4" t="s">
        <v>294</v>
      </c>
      <c r="C124" s="12"/>
      <c r="D124" s="244">
        <f>D123-C123</f>
        <v>0</v>
      </c>
      <c r="E124" s="244">
        <f t="shared" ref="E124" si="63">E123-D123</f>
        <v>0</v>
      </c>
      <c r="F124" s="244">
        <f t="shared" ref="F124" si="64">F123-E123</f>
        <v>0</v>
      </c>
      <c r="G124" s="244">
        <f t="shared" ref="G124" si="65">G123-F123</f>
        <v>0</v>
      </c>
      <c r="H124" s="244">
        <f t="shared" ref="H124" si="66">H123-G123</f>
        <v>0</v>
      </c>
      <c r="I124" s="244">
        <f t="shared" ref="I124" si="67">I123-H123</f>
        <v>0</v>
      </c>
      <c r="J124" s="244">
        <f t="shared" ref="J124" si="68">J123-I123</f>
        <v>0</v>
      </c>
      <c r="K124" s="244">
        <f t="shared" ref="K124" si="69">K123-J123</f>
        <v>0</v>
      </c>
      <c r="L124" s="244">
        <f t="shared" ref="L124" si="70">L123-K123</f>
        <v>107818.18400000001</v>
      </c>
      <c r="M124" s="244">
        <f t="shared" ref="M124" si="71">M123-L123</f>
        <v>0</v>
      </c>
      <c r="N124" s="245">
        <f t="shared" ref="N124" si="72">N123-M123</f>
        <v>0</v>
      </c>
    </row>
    <row r="125" spans="2:14" x14ac:dyDescent="0.2">
      <c r="B125" s="4"/>
      <c r="C125" s="12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5"/>
    </row>
    <row r="126" spans="2:14" x14ac:dyDescent="0.2">
      <c r="B126" s="53" t="s">
        <v>295</v>
      </c>
      <c r="C126" s="12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5"/>
    </row>
    <row r="127" spans="2:14" x14ac:dyDescent="0.2">
      <c r="B127" s="4" t="s">
        <v>15</v>
      </c>
      <c r="C127" s="12"/>
      <c r="D127" s="244">
        <f>(D$8&gt;=YEAR(PhaseIIIComplete))*'Assumptions-ResRental'!$F9</f>
        <v>0</v>
      </c>
      <c r="E127" s="244">
        <f>(E$8&gt;=YEAR(PhaseIIIComplete))*'Assumptions-ResRental'!$F9</f>
        <v>0</v>
      </c>
      <c r="F127" s="244">
        <f>(F$8&gt;=YEAR(PhaseIIIComplete))*'Assumptions-ResRental'!$F9</f>
        <v>0</v>
      </c>
      <c r="G127" s="244">
        <f>(G$8&gt;=YEAR(PhaseIIIComplete))*'Assumptions-ResRental'!$F9</f>
        <v>0</v>
      </c>
      <c r="H127" s="244">
        <f>(H$8&gt;=YEAR(PhaseIIIComplete))*'Assumptions-ResRental'!$F9</f>
        <v>0</v>
      </c>
      <c r="I127" s="244">
        <f>(I$8&gt;=YEAR(PhaseIIIComplete))*'Assumptions-ResRental'!$F9</f>
        <v>0</v>
      </c>
      <c r="J127" s="244">
        <f>(J$8&gt;=YEAR(PhaseIIIComplete))*'Assumptions-ResRental'!$F9</f>
        <v>0</v>
      </c>
      <c r="K127" s="244">
        <f>(K$8&gt;=YEAR(PhaseIIIComplete))*'Assumptions-ResRental'!$F9</f>
        <v>0</v>
      </c>
      <c r="L127" s="244">
        <f>(L$8&gt;=YEAR(PhaseIIIComplete))*'Assumptions-ResRental'!$F9</f>
        <v>30</v>
      </c>
      <c r="M127" s="244">
        <f>(M$8&gt;=YEAR(PhaseIIIComplete))*'Assumptions-ResRental'!$F9</f>
        <v>30</v>
      </c>
      <c r="N127" s="245">
        <f>(N$8&gt;=YEAR(PhaseIIIComplete))*'Assumptions-ResRental'!$F9</f>
        <v>30</v>
      </c>
    </row>
    <row r="128" spans="2:14" x14ac:dyDescent="0.2">
      <c r="B128" s="4" t="s">
        <v>14</v>
      </c>
      <c r="C128" s="12"/>
      <c r="D128" s="244">
        <f>(D$8&gt;=YEAR(PhaseIIIComplete))*'Assumptions-ResRental'!$F10</f>
        <v>0</v>
      </c>
      <c r="E128" s="244">
        <f>(E$8&gt;=YEAR(PhaseIIIComplete))*'Assumptions-ResRental'!$F10</f>
        <v>0</v>
      </c>
      <c r="F128" s="244">
        <f>(F$8&gt;=YEAR(PhaseIIIComplete))*'Assumptions-ResRental'!$F10</f>
        <v>0</v>
      </c>
      <c r="G128" s="244">
        <f>(G$8&gt;=YEAR(PhaseIIIComplete))*'Assumptions-ResRental'!$F10</f>
        <v>0</v>
      </c>
      <c r="H128" s="244">
        <f>(H$8&gt;=YEAR(PhaseIIIComplete))*'Assumptions-ResRental'!$F10</f>
        <v>0</v>
      </c>
      <c r="I128" s="244">
        <f>(I$8&gt;=YEAR(PhaseIIIComplete))*'Assumptions-ResRental'!$F10</f>
        <v>0</v>
      </c>
      <c r="J128" s="244">
        <f>(J$8&gt;=YEAR(PhaseIIIComplete))*'Assumptions-ResRental'!$F10</f>
        <v>0</v>
      </c>
      <c r="K128" s="244">
        <f>(K$8&gt;=YEAR(PhaseIIIComplete))*'Assumptions-ResRental'!$F10</f>
        <v>0</v>
      </c>
      <c r="L128" s="244">
        <f>(L$8&gt;=YEAR(PhaseIIIComplete))*'Assumptions-ResRental'!$F10</f>
        <v>68</v>
      </c>
      <c r="M128" s="244">
        <f>(M$8&gt;=YEAR(PhaseIIIComplete))*'Assumptions-ResRental'!$F10</f>
        <v>68</v>
      </c>
      <c r="N128" s="245">
        <f>(N$8&gt;=YEAR(PhaseIIIComplete))*'Assumptions-ResRental'!$F10</f>
        <v>68</v>
      </c>
    </row>
    <row r="129" spans="2:14" x14ac:dyDescent="0.2">
      <c r="B129" s="4" t="s">
        <v>13</v>
      </c>
      <c r="C129" s="12"/>
      <c r="D129" s="244">
        <f>(D$8&gt;=YEAR(PhaseIIIComplete))*'Assumptions-ResRental'!$F11</f>
        <v>0</v>
      </c>
      <c r="E129" s="244">
        <f>(E$8&gt;=YEAR(PhaseIIIComplete))*'Assumptions-ResRental'!$F11</f>
        <v>0</v>
      </c>
      <c r="F129" s="244">
        <f>(F$8&gt;=YEAR(PhaseIIIComplete))*'Assumptions-ResRental'!$F11</f>
        <v>0</v>
      </c>
      <c r="G129" s="244">
        <f>(G$8&gt;=YEAR(PhaseIIIComplete))*'Assumptions-ResRental'!$F11</f>
        <v>0</v>
      </c>
      <c r="H129" s="244">
        <f>(H$8&gt;=YEAR(PhaseIIIComplete))*'Assumptions-ResRental'!$F11</f>
        <v>0</v>
      </c>
      <c r="I129" s="244">
        <f>(I$8&gt;=YEAR(PhaseIIIComplete))*'Assumptions-ResRental'!$F11</f>
        <v>0</v>
      </c>
      <c r="J129" s="244">
        <f>(J$8&gt;=YEAR(PhaseIIIComplete))*'Assumptions-ResRental'!$F11</f>
        <v>0</v>
      </c>
      <c r="K129" s="244">
        <f>(K$8&gt;=YEAR(PhaseIIIComplete))*'Assumptions-ResRental'!$F11</f>
        <v>0</v>
      </c>
      <c r="L129" s="244">
        <f>(L$8&gt;=YEAR(PhaseIIIComplete))*'Assumptions-ResRental'!$F11</f>
        <v>4</v>
      </c>
      <c r="M129" s="244">
        <f>(M$8&gt;=YEAR(PhaseIIIComplete))*'Assumptions-ResRental'!$F11</f>
        <v>4</v>
      </c>
      <c r="N129" s="245">
        <f>(N$8&gt;=YEAR(PhaseIIIComplete))*'Assumptions-ResRental'!$F11</f>
        <v>4</v>
      </c>
    </row>
    <row r="130" spans="2:14" x14ac:dyDescent="0.2">
      <c r="B130" s="4" t="s">
        <v>12</v>
      </c>
      <c r="C130" s="12"/>
      <c r="D130" s="244">
        <f>(D$8&gt;=YEAR(PhaseIIIComplete))*'Assumptions-ResRental'!$F12</f>
        <v>0</v>
      </c>
      <c r="E130" s="244">
        <f>(E$8&gt;=YEAR(PhaseIIIComplete))*'Assumptions-ResRental'!$F12</f>
        <v>0</v>
      </c>
      <c r="F130" s="244">
        <f>(F$8&gt;=YEAR(PhaseIIIComplete))*'Assumptions-ResRental'!$F12</f>
        <v>0</v>
      </c>
      <c r="G130" s="244">
        <f>(G$8&gt;=YEAR(PhaseIIIComplete))*'Assumptions-ResRental'!$F12</f>
        <v>0</v>
      </c>
      <c r="H130" s="244">
        <f>(H$8&gt;=YEAR(PhaseIIIComplete))*'Assumptions-ResRental'!$F12</f>
        <v>0</v>
      </c>
      <c r="I130" s="244">
        <f>(I$8&gt;=YEAR(PhaseIIIComplete))*'Assumptions-ResRental'!$F12</f>
        <v>0</v>
      </c>
      <c r="J130" s="244">
        <f>(J$8&gt;=YEAR(PhaseIIIComplete))*'Assumptions-ResRental'!$F12</f>
        <v>0</v>
      </c>
      <c r="K130" s="244">
        <f>(K$8&gt;=YEAR(PhaseIIIComplete))*'Assumptions-ResRental'!$F12</f>
        <v>0</v>
      </c>
      <c r="L130" s="244">
        <f>(L$8&gt;=YEAR(PhaseIIIComplete))*'Assumptions-ResRental'!$F12</f>
        <v>4</v>
      </c>
      <c r="M130" s="244">
        <f>(M$8&gt;=YEAR(PhaseIIIComplete))*'Assumptions-ResRental'!$F12</f>
        <v>4</v>
      </c>
      <c r="N130" s="245">
        <f>(N$8&gt;=YEAR(PhaseIIIComplete))*'Assumptions-ResRental'!$F12</f>
        <v>4</v>
      </c>
    </row>
    <row r="131" spans="2:14" x14ac:dyDescent="0.2">
      <c r="B131" s="4"/>
      <c r="C131" s="12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5"/>
    </row>
    <row r="132" spans="2:14" x14ac:dyDescent="0.2">
      <c r="B132" s="53" t="s">
        <v>296</v>
      </c>
      <c r="C132" s="12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5"/>
    </row>
    <row r="133" spans="2:14" x14ac:dyDescent="0.2">
      <c r="B133" s="4" t="s">
        <v>15</v>
      </c>
      <c r="C133" s="12"/>
      <c r="D133" s="244">
        <f>(D$8&gt;=YEAR(PhaseIIIComplete))*'Assumptions-ResRental'!$F17</f>
        <v>0</v>
      </c>
      <c r="E133" s="244">
        <f>(E$8&gt;=YEAR(PhaseIIIComplete))*'Assumptions-ResRental'!$F17</f>
        <v>0</v>
      </c>
      <c r="F133" s="244">
        <f>(F$8&gt;=YEAR(PhaseIIIComplete))*'Assumptions-ResRental'!$F17</f>
        <v>0</v>
      </c>
      <c r="G133" s="244">
        <f>(G$8&gt;=YEAR(PhaseIIIComplete))*'Assumptions-ResRental'!$F17</f>
        <v>0</v>
      </c>
      <c r="H133" s="244">
        <f>(H$8&gt;=YEAR(PhaseIIIComplete))*'Assumptions-ResRental'!$F17</f>
        <v>0</v>
      </c>
      <c r="I133" s="244">
        <f>(I$8&gt;=YEAR(PhaseIIIComplete))*'Assumptions-ResRental'!$F17</f>
        <v>0</v>
      </c>
      <c r="J133" s="244">
        <f>(J$8&gt;=YEAR(PhaseIIIComplete))*'Assumptions-ResRental'!$F17</f>
        <v>0</v>
      </c>
      <c r="K133" s="244">
        <f>(K$8&gt;=YEAR(PhaseIIIComplete))*'Assumptions-ResRental'!$F17</f>
        <v>0</v>
      </c>
      <c r="L133" s="244">
        <f>(L$8&gt;=YEAR(PhaseIIIComplete))*'Assumptions-ResRental'!$F17</f>
        <v>4</v>
      </c>
      <c r="M133" s="244">
        <f>(M$8&gt;=YEAR(PhaseIIIComplete))*'Assumptions-ResRental'!$F17</f>
        <v>4</v>
      </c>
      <c r="N133" s="245">
        <f>(N$8&gt;=YEAR(PhaseIIIComplete))*'Assumptions-ResRental'!$F17</f>
        <v>4</v>
      </c>
    </row>
    <row r="134" spans="2:14" x14ac:dyDescent="0.2">
      <c r="B134" s="4" t="s">
        <v>14</v>
      </c>
      <c r="C134" s="12"/>
      <c r="D134" s="244">
        <f>(D$8&gt;=YEAR(PhaseIIIComplete))*'Assumptions-ResRental'!$F18</f>
        <v>0</v>
      </c>
      <c r="E134" s="244">
        <f>(E$8&gt;=YEAR(PhaseIIIComplete))*'Assumptions-ResRental'!$F18</f>
        <v>0</v>
      </c>
      <c r="F134" s="244">
        <f>(F$8&gt;=YEAR(PhaseIIIComplete))*'Assumptions-ResRental'!$F18</f>
        <v>0</v>
      </c>
      <c r="G134" s="244">
        <f>(G$8&gt;=YEAR(PhaseIIIComplete))*'Assumptions-ResRental'!$F18</f>
        <v>0</v>
      </c>
      <c r="H134" s="244">
        <f>(H$8&gt;=YEAR(PhaseIIIComplete))*'Assumptions-ResRental'!$F18</f>
        <v>0</v>
      </c>
      <c r="I134" s="244">
        <f>(I$8&gt;=YEAR(PhaseIIIComplete))*'Assumptions-ResRental'!$F18</f>
        <v>0</v>
      </c>
      <c r="J134" s="244">
        <f>(J$8&gt;=YEAR(PhaseIIIComplete))*'Assumptions-ResRental'!$F18</f>
        <v>0</v>
      </c>
      <c r="K134" s="244">
        <f>(K$8&gt;=YEAR(PhaseIIIComplete))*'Assumptions-ResRental'!$F18</f>
        <v>0</v>
      </c>
      <c r="L134" s="244">
        <f>(L$8&gt;=YEAR(PhaseIIIComplete))*'Assumptions-ResRental'!$F18</f>
        <v>6</v>
      </c>
      <c r="M134" s="244">
        <f>(M$8&gt;=YEAR(PhaseIIIComplete))*'Assumptions-ResRental'!$F18</f>
        <v>6</v>
      </c>
      <c r="N134" s="245">
        <f>(N$8&gt;=YEAR(PhaseIIIComplete))*'Assumptions-ResRental'!$F18</f>
        <v>6</v>
      </c>
    </row>
    <row r="135" spans="2:14" x14ac:dyDescent="0.2">
      <c r="B135" s="4" t="s">
        <v>13</v>
      </c>
      <c r="C135" s="12"/>
      <c r="D135" s="244">
        <f>(D$8&gt;=YEAR(PhaseIIIComplete))*'Assumptions-ResRental'!$F19</f>
        <v>0</v>
      </c>
      <c r="E135" s="244">
        <f>(E$8&gt;=YEAR(PhaseIIIComplete))*'Assumptions-ResRental'!$F19</f>
        <v>0</v>
      </c>
      <c r="F135" s="244">
        <f>(F$8&gt;=YEAR(PhaseIIIComplete))*'Assumptions-ResRental'!$F19</f>
        <v>0</v>
      </c>
      <c r="G135" s="244">
        <f>(G$8&gt;=YEAR(PhaseIIIComplete))*'Assumptions-ResRental'!$F19</f>
        <v>0</v>
      </c>
      <c r="H135" s="244">
        <f>(H$8&gt;=YEAR(PhaseIIIComplete))*'Assumptions-ResRental'!$F19</f>
        <v>0</v>
      </c>
      <c r="I135" s="244">
        <f>(I$8&gt;=YEAR(PhaseIIIComplete))*'Assumptions-ResRental'!$F19</f>
        <v>0</v>
      </c>
      <c r="J135" s="244">
        <f>(J$8&gt;=YEAR(PhaseIIIComplete))*'Assumptions-ResRental'!$F19</f>
        <v>0</v>
      </c>
      <c r="K135" s="244">
        <f>(K$8&gt;=YEAR(PhaseIIIComplete))*'Assumptions-ResRental'!$F19</f>
        <v>0</v>
      </c>
      <c r="L135" s="244">
        <f>(L$8&gt;=YEAR(PhaseIIIComplete))*'Assumptions-ResRental'!$F19</f>
        <v>8</v>
      </c>
      <c r="M135" s="244">
        <f>(M$8&gt;=YEAR(PhaseIIIComplete))*'Assumptions-ResRental'!$F19</f>
        <v>8</v>
      </c>
      <c r="N135" s="245">
        <f>(N$8&gt;=YEAR(PhaseIIIComplete))*'Assumptions-ResRental'!$F19</f>
        <v>8</v>
      </c>
    </row>
    <row r="136" spans="2:14" x14ac:dyDescent="0.2">
      <c r="B136" s="4" t="s">
        <v>12</v>
      </c>
      <c r="C136" s="12"/>
      <c r="D136" s="244">
        <f>(D$8&gt;=YEAR(PhaseIIIComplete))*'Assumptions-ResRental'!$F20</f>
        <v>0</v>
      </c>
      <c r="E136" s="244">
        <f>(E$8&gt;=YEAR(PhaseIIIComplete))*'Assumptions-ResRental'!$F20</f>
        <v>0</v>
      </c>
      <c r="F136" s="244">
        <f>(F$8&gt;=YEAR(PhaseIIIComplete))*'Assumptions-ResRental'!$F20</f>
        <v>0</v>
      </c>
      <c r="G136" s="244">
        <f>(G$8&gt;=YEAR(PhaseIIIComplete))*'Assumptions-ResRental'!$F20</f>
        <v>0</v>
      </c>
      <c r="H136" s="244">
        <f>(H$8&gt;=YEAR(PhaseIIIComplete))*'Assumptions-ResRental'!$F20</f>
        <v>0</v>
      </c>
      <c r="I136" s="244">
        <f>(I$8&gt;=YEAR(PhaseIIIComplete))*'Assumptions-ResRental'!$F20</f>
        <v>0</v>
      </c>
      <c r="J136" s="244">
        <f>(J$8&gt;=YEAR(PhaseIIIComplete))*'Assumptions-ResRental'!$F20</f>
        <v>0</v>
      </c>
      <c r="K136" s="244">
        <f>(K$8&gt;=YEAR(PhaseIIIComplete))*'Assumptions-ResRental'!$F20</f>
        <v>0</v>
      </c>
      <c r="L136" s="244">
        <f>(L$8&gt;=YEAR(PhaseIIIComplete))*'Assumptions-ResRental'!$F20</f>
        <v>2</v>
      </c>
      <c r="M136" s="244">
        <f>(M$8&gt;=YEAR(PhaseIIIComplete))*'Assumptions-ResRental'!$F20</f>
        <v>2</v>
      </c>
      <c r="N136" s="245">
        <f>(N$8&gt;=YEAR(PhaseIIIComplete))*'Assumptions-ResRental'!$F20</f>
        <v>2</v>
      </c>
    </row>
    <row r="137" spans="2:14" x14ac:dyDescent="0.2">
      <c r="B137" s="4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3"/>
    </row>
    <row r="138" spans="2:14" x14ac:dyDescent="0.2">
      <c r="B138" s="53" t="s">
        <v>307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3"/>
    </row>
    <row r="139" spans="2:14" x14ac:dyDescent="0.2">
      <c r="B139" s="4" t="s">
        <v>299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3"/>
    </row>
    <row r="140" spans="2:14" x14ac:dyDescent="0.2">
      <c r="B140" s="246" t="s">
        <v>252</v>
      </c>
      <c r="C140" s="12"/>
      <c r="D140" s="242">
        <f>SUMPRODUCT(D127:D130,'Assumptions-ResRental'!$L$8:$L$11)*(1+'Assumptions-Overall'!$C$35)^('CashFlow-ResRental'!D$7-1)</f>
        <v>0</v>
      </c>
      <c r="E140" s="242">
        <f>SUMPRODUCT(E127:E130,'Assumptions-ResRental'!$L$8:$L$11)*(1+'Assumptions-Overall'!$C$35)^('CashFlow-ResRental'!E$7-1)</f>
        <v>0</v>
      </c>
      <c r="F140" s="242">
        <f>SUMPRODUCT(F127:F130,'Assumptions-ResRental'!$L$8:$L$11)*(1+'Assumptions-Overall'!$C$35)^('CashFlow-ResRental'!F$7-1)</f>
        <v>0</v>
      </c>
      <c r="G140" s="242">
        <f>SUMPRODUCT(G127:G130,'Assumptions-ResRental'!$L$8:$L$11)*(1+'Assumptions-Overall'!$C$35)^('CashFlow-ResRental'!G$7-1)</f>
        <v>0</v>
      </c>
      <c r="H140" s="242">
        <f>SUMPRODUCT(H127:H130,'Assumptions-ResRental'!$L$8:$L$11)*(1+'Assumptions-Overall'!$C$35)^('CashFlow-ResRental'!H$7-1)</f>
        <v>0</v>
      </c>
      <c r="I140" s="242">
        <f>SUMPRODUCT(I127:I130,'Assumptions-ResRental'!$L$8:$L$11)*(1+'Assumptions-Overall'!$C$35)^('CashFlow-ResRental'!I$7-1)</f>
        <v>0</v>
      </c>
      <c r="J140" s="242">
        <f>SUMPRODUCT(J127:J130,'Assumptions-ResRental'!$L$8:$L$11)*(1+'Assumptions-Overall'!$C$35)^('CashFlow-ResRental'!J$7-1)</f>
        <v>0</v>
      </c>
      <c r="K140" s="242">
        <f>SUMPRODUCT(K127:K130,'Assumptions-ResRental'!$L$8:$L$11)*(1+'Assumptions-Overall'!$C$35)^('CashFlow-ResRental'!K$7-1)</f>
        <v>0</v>
      </c>
      <c r="L140" s="242">
        <f>SUMPRODUCT(L127:L130,'Assumptions-ResRental'!$L$8:$L$11)*(1+'Assumptions-Overall'!$C$35)^('CashFlow-ResRental'!L$7-1)</f>
        <v>3918024.3945848243</v>
      </c>
      <c r="M140" s="242">
        <f>SUMPRODUCT(M127:M130,'Assumptions-ResRental'!$L$8:$L$11)*(1+'Assumptions-Overall'!$C$35)^('CashFlow-ResRental'!M$7-1)</f>
        <v>4035565.1264223694</v>
      </c>
      <c r="N140" s="247">
        <f>SUMPRODUCT(N127:N130,'Assumptions-ResRental'!$L$8:$L$11)*(1+'Assumptions-Overall'!$C$35)^('CashFlow-ResRental'!N$7-1)</f>
        <v>4156632.0802150406</v>
      </c>
    </row>
    <row r="141" spans="2:14" x14ac:dyDescent="0.2">
      <c r="B141" s="246" t="s">
        <v>253</v>
      </c>
      <c r="C141" s="12"/>
      <c r="D141" s="240">
        <f>SUMPRODUCT(D133:D136,'Assumptions-ResRental'!$R$8:$R$11)*(1+'Assumptions-Overall'!$C$36)^('CashFlow-ResRental'!D$7-1)</f>
        <v>0</v>
      </c>
      <c r="E141" s="240">
        <f>SUMPRODUCT(E133:E136,'Assumptions-ResRental'!$R$8:$R$11)*(1+'Assumptions-Overall'!$C$36)^('CashFlow-ResRental'!E$7-1)</f>
        <v>0</v>
      </c>
      <c r="F141" s="240">
        <f>SUMPRODUCT(F133:F136,'Assumptions-ResRental'!$R$8:$R$11)*(1+'Assumptions-Overall'!$C$36)^('CashFlow-ResRental'!F$7-1)</f>
        <v>0</v>
      </c>
      <c r="G141" s="240">
        <f>SUMPRODUCT(G133:G136,'Assumptions-ResRental'!$R$8:$R$11)*(1+'Assumptions-Overall'!$C$36)^('CashFlow-ResRental'!G$7-1)</f>
        <v>0</v>
      </c>
      <c r="H141" s="240">
        <f>SUMPRODUCT(H133:H136,'Assumptions-ResRental'!$R$8:$R$11)*(1+'Assumptions-Overall'!$C$36)^('CashFlow-ResRental'!H$7-1)</f>
        <v>0</v>
      </c>
      <c r="I141" s="240">
        <f>SUMPRODUCT(I133:I136,'Assumptions-ResRental'!$R$8:$R$11)*(1+'Assumptions-Overall'!$C$36)^('CashFlow-ResRental'!I$7-1)</f>
        <v>0</v>
      </c>
      <c r="J141" s="240">
        <f>SUMPRODUCT(J133:J136,'Assumptions-ResRental'!$R$8:$R$11)*(1+'Assumptions-Overall'!$C$36)^('CashFlow-ResRental'!J$7-1)</f>
        <v>0</v>
      </c>
      <c r="K141" s="240">
        <f>SUMPRODUCT(K133:K136,'Assumptions-ResRental'!$R$8:$R$11)*(1+'Assumptions-Overall'!$C$36)^('CashFlow-ResRental'!K$7-1)</f>
        <v>0</v>
      </c>
      <c r="L141" s="240">
        <f>SUMPRODUCT(L133:L136,'Assumptions-ResRental'!$R$8:$R$11)*(1+'Assumptions-Overall'!$C$36)^('CashFlow-ResRental'!L$7-1)</f>
        <v>275180.6088597161</v>
      </c>
      <c r="M141" s="240">
        <f>SUMPRODUCT(M133:M136,'Assumptions-ResRental'!$R$8:$R$11)*(1+'Assumptions-Overall'!$C$36)^('CashFlow-ResRental'!M$7-1)</f>
        <v>280684.22103691043</v>
      </c>
      <c r="N141" s="248">
        <f>SUMPRODUCT(N133:N136,'Assumptions-ResRental'!$R$8:$R$11)*(1+'Assumptions-Overall'!$C$36)^('CashFlow-ResRental'!N$7-1)</f>
        <v>286297.90545764862</v>
      </c>
    </row>
    <row r="142" spans="2:14" x14ac:dyDescent="0.2">
      <c r="B142" s="4" t="s">
        <v>300</v>
      </c>
      <c r="C142" s="12"/>
      <c r="D142" s="242">
        <f>SUM(D140:D141)</f>
        <v>0</v>
      </c>
      <c r="E142" s="242">
        <f t="shared" ref="E142" si="73">SUM(E140:E141)</f>
        <v>0</v>
      </c>
      <c r="F142" s="242">
        <f t="shared" ref="F142" si="74">SUM(F140:F141)</f>
        <v>0</v>
      </c>
      <c r="G142" s="242">
        <f t="shared" ref="G142" si="75">SUM(G140:G141)</f>
        <v>0</v>
      </c>
      <c r="H142" s="242">
        <f t="shared" ref="H142" si="76">SUM(H140:H141)</f>
        <v>0</v>
      </c>
      <c r="I142" s="242">
        <f t="shared" ref="I142" si="77">SUM(I140:I141)</f>
        <v>0</v>
      </c>
      <c r="J142" s="242">
        <f t="shared" ref="J142" si="78">SUM(J140:J141)</f>
        <v>0</v>
      </c>
      <c r="K142" s="242">
        <f t="shared" ref="K142" si="79">SUM(K140:K141)</f>
        <v>0</v>
      </c>
      <c r="L142" s="242">
        <f t="shared" ref="L142" si="80">SUM(L140:L141)</f>
        <v>4193205.0034445403</v>
      </c>
      <c r="M142" s="242">
        <f t="shared" ref="M142" si="81">SUM(M140:M141)</f>
        <v>4316249.3474592799</v>
      </c>
      <c r="N142" s="247">
        <f t="shared" ref="N142" si="82">SUM(N140:N141)</f>
        <v>4442929.985672689</v>
      </c>
    </row>
    <row r="143" spans="2:14" x14ac:dyDescent="0.2">
      <c r="B143" s="4"/>
      <c r="C143" s="1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7"/>
    </row>
    <row r="144" spans="2:14" x14ac:dyDescent="0.2">
      <c r="B144" s="4" t="s">
        <v>301</v>
      </c>
      <c r="C144" s="1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7"/>
    </row>
    <row r="145" spans="2:14" x14ac:dyDescent="0.2">
      <c r="B145" s="246" t="s">
        <v>302</v>
      </c>
      <c r="C145" s="12"/>
      <c r="D145" s="242">
        <f>-D140*'Assumptions-ResRental'!$I$15</f>
        <v>0</v>
      </c>
      <c r="E145" s="242">
        <f>-E140*'Assumptions-ResRental'!$I$15</f>
        <v>0</v>
      </c>
      <c r="F145" s="242">
        <f>-F140*'Assumptions-ResRental'!$I$15</f>
        <v>0</v>
      </c>
      <c r="G145" s="242">
        <f>-G140*'Assumptions-ResRental'!$I$15</f>
        <v>0</v>
      </c>
      <c r="H145" s="242">
        <f>-H140*'Assumptions-ResRental'!$I$15</f>
        <v>0</v>
      </c>
      <c r="I145" s="242">
        <f>-I140*'Assumptions-ResRental'!$I$15</f>
        <v>0</v>
      </c>
      <c r="J145" s="242">
        <f>-J140*'Assumptions-ResRental'!$I$15</f>
        <v>0</v>
      </c>
      <c r="K145" s="242">
        <f>-K140*'Assumptions-ResRental'!$I$15</f>
        <v>0</v>
      </c>
      <c r="L145" s="242">
        <f>-L140*'Assumptions-ResRental'!$I$15</f>
        <v>-156720.97578339299</v>
      </c>
      <c r="M145" s="242">
        <f>-M140*'Assumptions-ResRental'!$I$15</f>
        <v>-161422.60505689477</v>
      </c>
      <c r="N145" s="247">
        <f>-N140*'Assumptions-ResRental'!$I$15</f>
        <v>-166265.28320860161</v>
      </c>
    </row>
    <row r="146" spans="2:14" x14ac:dyDescent="0.2">
      <c r="B146" s="246" t="s">
        <v>303</v>
      </c>
      <c r="C146" s="12"/>
      <c r="D146" s="242">
        <f>-D141*'Assumptions-ResRental'!$I$16</f>
        <v>0</v>
      </c>
      <c r="E146" s="242">
        <f>-E141*'Assumptions-ResRental'!$I$16</f>
        <v>0</v>
      </c>
      <c r="F146" s="242">
        <f>-F141*'Assumptions-ResRental'!$I$16</f>
        <v>0</v>
      </c>
      <c r="G146" s="242">
        <f>-G141*'Assumptions-ResRental'!$I$16</f>
        <v>0</v>
      </c>
      <c r="H146" s="242">
        <f>-H141*'Assumptions-ResRental'!$I$16</f>
        <v>0</v>
      </c>
      <c r="I146" s="242">
        <f>-I141*'Assumptions-ResRental'!$I$16</f>
        <v>0</v>
      </c>
      <c r="J146" s="242">
        <f>-J141*'Assumptions-ResRental'!$I$16</f>
        <v>0</v>
      </c>
      <c r="K146" s="242">
        <f>-K141*'Assumptions-ResRental'!$I$16</f>
        <v>0</v>
      </c>
      <c r="L146" s="242">
        <f>-L141*'Assumptions-ResRental'!$I$16</f>
        <v>-5503.6121771943217</v>
      </c>
      <c r="M146" s="242">
        <f>-M141*'Assumptions-ResRental'!$I$16</f>
        <v>-5613.6844207382082</v>
      </c>
      <c r="N146" s="247">
        <f>-N141*'Assumptions-ResRental'!$I$16</f>
        <v>-5725.9581091529726</v>
      </c>
    </row>
    <row r="147" spans="2:14" x14ac:dyDescent="0.2">
      <c r="B147" s="246" t="s">
        <v>304</v>
      </c>
      <c r="C147" s="12"/>
      <c r="D147" s="240">
        <f>-(C142=0)*(D142*'Assumptions-ResRental'!$I$20+SUM('CashFlow-ResRental'!D145:D146))</f>
        <v>0</v>
      </c>
      <c r="E147" s="240">
        <f>-(D142=0)*(E142*'Assumptions-ResRental'!$I$20+SUM('CashFlow-ResRental'!E145:E146))</f>
        <v>0</v>
      </c>
      <c r="F147" s="240">
        <f>-(E142=0)*(F142*'Assumptions-ResRental'!$I$20+SUM('CashFlow-ResRental'!F145:F146))</f>
        <v>0</v>
      </c>
      <c r="G147" s="240">
        <f>-(F142=0)*(G142*'Assumptions-ResRental'!$I$20+SUM('CashFlow-ResRental'!G145:G146))</f>
        <v>0</v>
      </c>
      <c r="H147" s="240">
        <f>-(G142=0)*(H142*'Assumptions-ResRental'!$I$20+SUM('CashFlow-ResRental'!H145:H146))</f>
        <v>0</v>
      </c>
      <c r="I147" s="240">
        <f>-(H142=0)*(I142*'Assumptions-ResRental'!$I$20+SUM('CashFlow-ResRental'!I145:I146))</f>
        <v>0</v>
      </c>
      <c r="J147" s="240">
        <f>-(I142=0)*(J142*'Assumptions-ResRental'!$I$20+SUM('CashFlow-ResRental'!J145:J146))</f>
        <v>0</v>
      </c>
      <c r="K147" s="240">
        <f>-(J142=0)*(K142*'Assumptions-ResRental'!$I$20+SUM('CashFlow-ResRental'!K145:K146))</f>
        <v>0</v>
      </c>
      <c r="L147" s="240">
        <f>-(K142=0)*(L142*'Assumptions-ResRental'!$I$20+SUM('CashFlow-ResRental'!L145:L146))</f>
        <v>-1095736.9130727747</v>
      </c>
      <c r="M147" s="240">
        <f>-(L142=0)*(M142*'Assumptions-ResRental'!$I$20+SUM('CashFlow-ResRental'!M145:M146))</f>
        <v>0</v>
      </c>
      <c r="N147" s="248">
        <f>-(M142=0)*(N142*'Assumptions-ResRental'!$I$20+SUM('CashFlow-ResRental'!N145:N146))</f>
        <v>0</v>
      </c>
    </row>
    <row r="148" spans="2:14" x14ac:dyDescent="0.2">
      <c r="B148" s="4" t="s">
        <v>305</v>
      </c>
      <c r="C148" s="12"/>
      <c r="D148" s="242">
        <f>SUM(D145:D147)</f>
        <v>0</v>
      </c>
      <c r="E148" s="242">
        <f t="shared" ref="E148" si="83">SUM(E145:E147)</f>
        <v>0</v>
      </c>
      <c r="F148" s="242">
        <f t="shared" ref="F148" si="84">SUM(F145:F147)</f>
        <v>0</v>
      </c>
      <c r="G148" s="242">
        <f t="shared" ref="G148" si="85">SUM(G145:G147)</f>
        <v>0</v>
      </c>
      <c r="H148" s="242">
        <f t="shared" ref="H148" si="86">SUM(H145:H147)</f>
        <v>0</v>
      </c>
      <c r="I148" s="242">
        <f t="shared" ref="I148" si="87">SUM(I145:I147)</f>
        <v>0</v>
      </c>
      <c r="J148" s="242">
        <f t="shared" ref="J148" si="88">SUM(J145:J147)</f>
        <v>0</v>
      </c>
      <c r="K148" s="242">
        <f t="shared" ref="K148" si="89">SUM(K145:K147)</f>
        <v>0</v>
      </c>
      <c r="L148" s="242">
        <f t="shared" ref="L148" si="90">SUM(L145:L147)</f>
        <v>-1257961.501033362</v>
      </c>
      <c r="M148" s="242">
        <f t="shared" ref="M148" si="91">SUM(M145:M147)</f>
        <v>-167036.28947763296</v>
      </c>
      <c r="N148" s="247">
        <f t="shared" ref="N148" si="92">SUM(N145:N147)</f>
        <v>-171991.24131775458</v>
      </c>
    </row>
    <row r="149" spans="2:14" x14ac:dyDescent="0.2">
      <c r="B149" s="4"/>
      <c r="C149" s="12"/>
      <c r="D149" s="242"/>
      <c r="E149" s="242"/>
      <c r="F149" s="242"/>
      <c r="G149" s="242"/>
      <c r="H149" s="242"/>
      <c r="I149" s="242"/>
      <c r="J149" s="210"/>
      <c r="K149" s="210"/>
      <c r="L149" s="210"/>
      <c r="M149" s="210"/>
      <c r="N149" s="253"/>
    </row>
    <row r="150" spans="2:14" x14ac:dyDescent="0.2">
      <c r="B150" s="4" t="s">
        <v>306</v>
      </c>
      <c r="C150" s="12"/>
      <c r="D150" s="241">
        <f>D142+D148</f>
        <v>0</v>
      </c>
      <c r="E150" s="241">
        <f t="shared" ref="E150:N150" si="93">E142+E148</f>
        <v>0</v>
      </c>
      <c r="F150" s="241">
        <f t="shared" si="93"/>
        <v>0</v>
      </c>
      <c r="G150" s="241">
        <f t="shared" si="93"/>
        <v>0</v>
      </c>
      <c r="H150" s="241">
        <f t="shared" si="93"/>
        <v>0</v>
      </c>
      <c r="I150" s="241">
        <f t="shared" si="93"/>
        <v>0</v>
      </c>
      <c r="J150" s="241">
        <f t="shared" si="93"/>
        <v>0</v>
      </c>
      <c r="K150" s="241">
        <f t="shared" si="93"/>
        <v>0</v>
      </c>
      <c r="L150" s="241">
        <f t="shared" si="93"/>
        <v>2935243.5024111783</v>
      </c>
      <c r="M150" s="241">
        <f t="shared" si="93"/>
        <v>4149213.0579816471</v>
      </c>
      <c r="N150" s="249">
        <f t="shared" si="93"/>
        <v>4270938.7443549344</v>
      </c>
    </row>
    <row r="151" spans="2:14" x14ac:dyDescent="0.2">
      <c r="B151" s="4"/>
      <c r="C151" s="1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7"/>
    </row>
    <row r="152" spans="2:14" x14ac:dyDescent="0.2">
      <c r="B152" s="4" t="s">
        <v>308</v>
      </c>
      <c r="C152" s="12"/>
      <c r="D152" s="242">
        <f>-D150*'Assumptions-ResRental'!$I$20</f>
        <v>0</v>
      </c>
      <c r="E152" s="242">
        <f>-E150*'Assumptions-ResRental'!$I$20</f>
        <v>0</v>
      </c>
      <c r="F152" s="242">
        <f>-F150*'Assumptions-ResRental'!$I$20</f>
        <v>0</v>
      </c>
      <c r="G152" s="242">
        <f>-G150*'Assumptions-ResRental'!$I$20</f>
        <v>0</v>
      </c>
      <c r="H152" s="242">
        <f>-H150*'Assumptions-ResRental'!$I$20</f>
        <v>0</v>
      </c>
      <c r="I152" s="242">
        <f>-I150*'Assumptions-ResRental'!$I$20</f>
        <v>0</v>
      </c>
      <c r="J152" s="242">
        <f>-J150*'Assumptions-ResRental'!$I$20</f>
        <v>0</v>
      </c>
      <c r="K152" s="242">
        <f>-K150*'Assumptions-ResRental'!$I$20</f>
        <v>0</v>
      </c>
      <c r="L152" s="242">
        <f>-L150*'Assumptions-ResRental'!$I$20</f>
        <v>-880573.05072335352</v>
      </c>
      <c r="M152" s="242">
        <f>-M150*'Assumptions-ResRental'!$I$20</f>
        <v>-1244763.9173944942</v>
      </c>
      <c r="N152" s="247">
        <f>-N150*'Assumptions-ResRental'!$I$20</f>
        <v>-1281281.6233064802</v>
      </c>
    </row>
    <row r="153" spans="2:14" x14ac:dyDescent="0.2">
      <c r="B153" s="4"/>
      <c r="C153" s="1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7"/>
    </row>
    <row r="154" spans="2:14" x14ac:dyDescent="0.2">
      <c r="B154" s="4" t="s">
        <v>310</v>
      </c>
      <c r="C154" s="12"/>
      <c r="D154" s="241">
        <f>SUM(D150:D152)</f>
        <v>0</v>
      </c>
      <c r="E154" s="241">
        <f t="shared" ref="E154:N154" si="94">SUM(E150:E152)</f>
        <v>0</v>
      </c>
      <c r="F154" s="241">
        <f t="shared" si="94"/>
        <v>0</v>
      </c>
      <c r="G154" s="241">
        <f t="shared" si="94"/>
        <v>0</v>
      </c>
      <c r="H154" s="241">
        <f t="shared" si="94"/>
        <v>0</v>
      </c>
      <c r="I154" s="241">
        <f t="shared" si="94"/>
        <v>0</v>
      </c>
      <c r="J154" s="241">
        <f t="shared" si="94"/>
        <v>0</v>
      </c>
      <c r="K154" s="241">
        <f t="shared" si="94"/>
        <v>0</v>
      </c>
      <c r="L154" s="241">
        <f t="shared" si="94"/>
        <v>2054670.4516878249</v>
      </c>
      <c r="M154" s="241">
        <f t="shared" si="94"/>
        <v>2904449.1405871529</v>
      </c>
      <c r="N154" s="249">
        <f t="shared" si="94"/>
        <v>2989657.1210484542</v>
      </c>
    </row>
    <row r="155" spans="2:14" x14ac:dyDescent="0.2">
      <c r="B155" s="4"/>
      <c r="C155" s="1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7"/>
    </row>
    <row r="156" spans="2:14" x14ac:dyDescent="0.2">
      <c r="B156" s="4" t="s">
        <v>283</v>
      </c>
      <c r="C156" s="12"/>
      <c r="D156" s="242">
        <f>-SUM(D127:D136)*'Assumptions-ResRental'!$I$22*(1+'Assumptions-Overall'!$C$40)^('CashFlow-ResRental'!D$7-1)</f>
        <v>0</v>
      </c>
      <c r="E156" s="242">
        <f>-SUM(E127:E136)*'Assumptions-ResRental'!$I$22*(1+'Assumptions-Overall'!$C$40)^('CashFlow-ResRental'!E$7-1)</f>
        <v>0</v>
      </c>
      <c r="F156" s="242">
        <f>-SUM(F127:F136)*'Assumptions-ResRental'!$I$22*(1+'Assumptions-Overall'!$C$40)^('CashFlow-ResRental'!F$7-1)</f>
        <v>0</v>
      </c>
      <c r="G156" s="242">
        <f>-SUM(G127:G136)*'Assumptions-ResRental'!$I$22*(1+'Assumptions-Overall'!$C$40)^('CashFlow-ResRental'!G$7-1)</f>
        <v>0</v>
      </c>
      <c r="H156" s="242">
        <f>-SUM(H127:H136)*'Assumptions-ResRental'!$I$22*(1+'Assumptions-Overall'!$C$40)^('CashFlow-ResRental'!H$7-1)</f>
        <v>0</v>
      </c>
      <c r="I156" s="242">
        <f>-SUM(I127:I136)*'Assumptions-ResRental'!$I$22*(1+'Assumptions-Overall'!$C$40)^('CashFlow-ResRental'!I$7-1)</f>
        <v>0</v>
      </c>
      <c r="J156" s="242">
        <f>-SUM(J127:J136)*'Assumptions-ResRental'!$I$22*(1+'Assumptions-Overall'!$C$40)^('CashFlow-ResRental'!J$7-1)</f>
        <v>0</v>
      </c>
      <c r="K156" s="242">
        <f>-SUM(K127:K136)*'Assumptions-ResRental'!$I$22*(1+'Assumptions-Overall'!$C$40)^('CashFlow-ResRental'!K$7-1)</f>
        <v>0</v>
      </c>
      <c r="L156" s="242">
        <f>-SUM(L127:L136)*'Assumptions-ResRental'!$I$22*(1+'Assumptions-Overall'!$C$40)^('CashFlow-ResRental'!L$7-1)</f>
        <v>-47883.909076451884</v>
      </c>
      <c r="M156" s="242">
        <f>-SUM(M127:M136)*'Assumptions-ResRental'!$I$22*(1+'Assumptions-Overall'!$C$40)^('CashFlow-ResRental'!M$7-1)</f>
        <v>-49320.426348745437</v>
      </c>
      <c r="N156" s="247"/>
    </row>
    <row r="157" spans="2:14" x14ac:dyDescent="0.2">
      <c r="B157" s="4"/>
      <c r="C157" s="1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7"/>
    </row>
    <row r="158" spans="2:14" x14ac:dyDescent="0.2">
      <c r="B158" s="4" t="s">
        <v>309</v>
      </c>
      <c r="C158" s="12"/>
      <c r="D158" s="241">
        <f>SUM(D154:D156)</f>
        <v>0</v>
      </c>
      <c r="E158" s="241">
        <f t="shared" ref="E158:M158" si="95">SUM(E154:E156)</f>
        <v>0</v>
      </c>
      <c r="F158" s="241">
        <f t="shared" si="95"/>
        <v>0</v>
      </c>
      <c r="G158" s="241">
        <f t="shared" si="95"/>
        <v>0</v>
      </c>
      <c r="H158" s="241">
        <f t="shared" si="95"/>
        <v>0</v>
      </c>
      <c r="I158" s="241">
        <f t="shared" si="95"/>
        <v>0</v>
      </c>
      <c r="J158" s="241">
        <f t="shared" si="95"/>
        <v>0</v>
      </c>
      <c r="K158" s="241">
        <f t="shared" si="95"/>
        <v>0</v>
      </c>
      <c r="L158" s="241">
        <f t="shared" si="95"/>
        <v>2006786.5426113731</v>
      </c>
      <c r="M158" s="241">
        <f t="shared" si="95"/>
        <v>2855128.7142384076</v>
      </c>
      <c r="N158" s="247"/>
    </row>
    <row r="159" spans="2:14" x14ac:dyDescent="0.2">
      <c r="B159" s="4"/>
      <c r="C159" s="1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7"/>
    </row>
    <row r="160" spans="2:14" x14ac:dyDescent="0.2">
      <c r="B160" s="53" t="s">
        <v>209</v>
      </c>
      <c r="C160" s="1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7"/>
    </row>
    <row r="161" spans="2:14" x14ac:dyDescent="0.2">
      <c r="B161" s="4" t="s">
        <v>311</v>
      </c>
      <c r="C161" s="12"/>
      <c r="D161" s="242">
        <f>-(AND(D$8&gt;=YEAR(PhaseIIIConBegin),D$8&lt;=YEAR(PhaseIIIConEnd)))*SUM($D124:$N124)*('Assumptions-Overall'!$M$10+'Assumptions-Overall'!$M$12)*(1+'Assumptions-Overall'!$C$41)^('CashFlow-ResRental'!D$7-1)/(YEAR(PhaseIIIConEnd)-YEAR(PhaseIIIConBegin)+1)</f>
        <v>0</v>
      </c>
      <c r="E161" s="242">
        <f>-(AND(E$8&gt;=YEAR(PhaseIIIConBegin),E$8&lt;=YEAR(PhaseIIIConEnd)))*SUM($D124:$N124)*('Assumptions-Overall'!$M$10+'Assumptions-Overall'!$M$12)*(1+'Assumptions-Overall'!$C$41)^('CashFlow-ResRental'!E$7-1)/(YEAR(PhaseIIIConEnd)-YEAR(PhaseIIIConBegin)+1)</f>
        <v>0</v>
      </c>
      <c r="F161" s="242">
        <f>-(AND(F$8&gt;=YEAR(PhaseIIIConBegin),F$8&lt;=YEAR(PhaseIIIConEnd)))*SUM($D124:$N124)*('Assumptions-Overall'!$M$10+'Assumptions-Overall'!$M$12)*(1+'Assumptions-Overall'!$C$41)^('CashFlow-ResRental'!F$7-1)/(YEAR(PhaseIIIConEnd)-YEAR(PhaseIIIConBegin)+1)</f>
        <v>0</v>
      </c>
      <c r="G161" s="242">
        <f>-(AND(G$8&gt;=YEAR(PhaseIIIConBegin),G$8&lt;=YEAR(PhaseIIIConEnd)))*SUM($D124:$N124)*('Assumptions-Overall'!$M$10+'Assumptions-Overall'!$M$12)*(1+'Assumptions-Overall'!$C$41)^('CashFlow-ResRental'!G$7-1)/(YEAR(PhaseIIIConEnd)-YEAR(PhaseIIIConBegin)+1)</f>
        <v>0</v>
      </c>
      <c r="H161" s="242">
        <f>-(AND(H$8&gt;=YEAR(PhaseIIIConBegin),H$8&lt;=YEAR(PhaseIIIConEnd)))*SUM($D124:$N124)*('Assumptions-Overall'!$M$10+'Assumptions-Overall'!$M$12)*(1+'Assumptions-Overall'!$C$41)^('CashFlow-ResRental'!H$7-1)/(YEAR(PhaseIIIConEnd)-YEAR(PhaseIIIConBegin)+1)</f>
        <v>0</v>
      </c>
      <c r="I161" s="242">
        <f>-(AND(I$8&gt;=YEAR(PhaseIIIConBegin),I$8&lt;=YEAR(PhaseIIIConEnd)))*SUM($D124:$N124)*('Assumptions-Overall'!$M$10+'Assumptions-Overall'!$M$12)*(1+'Assumptions-Overall'!$C$41)^('CashFlow-ResRental'!I$7-1)/(YEAR(PhaseIIIConEnd)-YEAR(PhaseIIIConBegin)+1)</f>
        <v>0</v>
      </c>
      <c r="J161" s="242">
        <f>-(AND(J$8&gt;=YEAR(PhaseIIIConBegin),J$8&lt;=YEAR(PhaseIIIConEnd)))*SUM($D124:$N124)*('Assumptions-Overall'!$M$10+'Assumptions-Overall'!$M$12)*(1+'Assumptions-Overall'!$C$41)^('CashFlow-ResRental'!J$7-1)/(YEAR(PhaseIIIConEnd)-YEAR(PhaseIIIConBegin)+1)</f>
        <v>-23173299.038301531</v>
      </c>
      <c r="K161" s="242">
        <f>-(AND(K$8&gt;=YEAR(PhaseIIIConBegin),K$8&lt;=YEAR(PhaseIIIConEnd)))*SUM($D124:$N124)*('Assumptions-Overall'!$M$10+'Assumptions-Overall'!$M$12)*(1+'Assumptions-Overall'!$C$41)^('CashFlow-ResRental'!K$7-1)/(YEAR(PhaseIIIConEnd)-YEAR(PhaseIIIConBegin)+1)</f>
        <v>-23868498.009450577</v>
      </c>
      <c r="L161" s="242">
        <f>-(AND(L$8&gt;=YEAR(PhaseIIIConBegin),L$8&lt;=YEAR(PhaseIIIConEnd)))*SUM($D124:$N124)*('Assumptions-Overall'!$M$10+'Assumptions-Overall'!$M$12)*(1+'Assumptions-Overall'!$C$41)^('CashFlow-ResRental'!L$7-1)/(YEAR(PhaseIIIConEnd)-YEAR(PhaseIIIConBegin)+1)</f>
        <v>0</v>
      </c>
      <c r="M161" s="242">
        <f>-(AND(M$8&gt;=YEAR(PhaseIIIConBegin),M$8&lt;=YEAR(PhaseIIIConEnd)))*SUM($D124:$N124)*('Assumptions-Overall'!$M$10+'Assumptions-Overall'!$M$12)*(1+'Assumptions-Overall'!$C$41)^('CashFlow-ResRental'!M$7-1)/(YEAR(PhaseIIIConEnd)-YEAR(PhaseIIIConBegin)+1)</f>
        <v>0</v>
      </c>
      <c r="N161" s="247"/>
    </row>
    <row r="162" spans="2:14" x14ac:dyDescent="0.2">
      <c r="B162" s="4" t="s">
        <v>312</v>
      </c>
      <c r="C162" s="12"/>
      <c r="D162" s="242">
        <f>(AND(D$8&gt;=YEAR(PhaseIIIPreconBegin),D$8&lt;=YEAR(PhaseIIIConEnd)))*SUM($D161:$N161)*'Assumptions-Overall'!$H$43/(YEAR(PhaseIIIConEnd)-YEAR(PhaseIIIPreconBegin)+1)</f>
        <v>0</v>
      </c>
      <c r="E162" s="242">
        <f>(AND(E$8&gt;=YEAR(PhaseIIIPreconBegin),E$8&lt;=YEAR(PhaseIIIConEnd)))*SUM($D161:$N161)*'Assumptions-Overall'!$H$43/(YEAR(PhaseIIIConEnd)-YEAR(PhaseIIIPreconBegin)+1)</f>
        <v>0</v>
      </c>
      <c r="F162" s="242">
        <f>(AND(F$8&gt;=YEAR(PhaseIIIPreconBegin),F$8&lt;=YEAR(PhaseIIIConEnd)))*SUM($D161:$N161)*'Assumptions-Overall'!$H$43/(YEAR(PhaseIIIConEnd)-YEAR(PhaseIIIPreconBegin)+1)</f>
        <v>0</v>
      </c>
      <c r="G162" s="242">
        <f>(AND(G$8&gt;=YEAR(PhaseIIIPreconBegin),G$8&lt;=YEAR(PhaseIIIConEnd)))*SUM($D161:$N161)*'Assumptions-Overall'!$H$43/(YEAR(PhaseIIIConEnd)-YEAR(PhaseIIIPreconBegin)+1)</f>
        <v>0</v>
      </c>
      <c r="H162" s="242">
        <f>(AND(H$8&gt;=YEAR(PhaseIIIPreconBegin),H$8&lt;=YEAR(PhaseIIIConEnd)))*SUM($D161:$N161)*'Assumptions-Overall'!$H$43/(YEAR(PhaseIIIConEnd)-YEAR(PhaseIIIPreconBegin)+1)</f>
        <v>-705626.95571628166</v>
      </c>
      <c r="I162" s="242">
        <f>(AND(I$8&gt;=YEAR(PhaseIIIPreconBegin),I$8&lt;=YEAR(PhaseIIIConEnd)))*SUM($D161:$N161)*'Assumptions-Overall'!$H$43/(YEAR(PhaseIIIConEnd)-YEAR(PhaseIIIPreconBegin)+1)</f>
        <v>-705626.95571628166</v>
      </c>
      <c r="J162" s="242">
        <f>(AND(J$8&gt;=YEAR(PhaseIIIPreconBegin),J$8&lt;=YEAR(PhaseIIIConEnd)))*SUM($D161:$N161)*'Assumptions-Overall'!$H$43/(YEAR(PhaseIIIConEnd)-YEAR(PhaseIIIPreconBegin)+1)</f>
        <v>-705626.95571628166</v>
      </c>
      <c r="K162" s="242">
        <f>(AND(K$8&gt;=YEAR(PhaseIIIPreconBegin),K$8&lt;=YEAR(PhaseIIIConEnd)))*SUM($D161:$N161)*'Assumptions-Overall'!$H$43/(YEAR(PhaseIIIConEnd)-YEAR(PhaseIIIPreconBegin)+1)</f>
        <v>-705626.95571628166</v>
      </c>
      <c r="L162" s="242">
        <f>(AND(L$8&gt;=YEAR(PhaseIIIPreconBegin),L$8&lt;=YEAR(PhaseIIIConEnd)))*SUM($D161:$N161)*'Assumptions-Overall'!$H$43/(YEAR(PhaseIIIConEnd)-YEAR(PhaseIIIPreconBegin)+1)</f>
        <v>0</v>
      </c>
      <c r="M162" s="242">
        <f>(AND(M$8&gt;=YEAR(PhaseIIIPreconBegin),M$8&lt;=YEAR(PhaseIIIConEnd)))*SUM($D161:$N161)*'Assumptions-Overall'!$H$43/(YEAR(PhaseIIIConEnd)-YEAR(PhaseIIIPreconBegin)+1)</f>
        <v>0</v>
      </c>
      <c r="N162" s="247"/>
    </row>
    <row r="163" spans="2:14" x14ac:dyDescent="0.2">
      <c r="B163" s="4" t="s">
        <v>183</v>
      </c>
      <c r="C163" s="12"/>
      <c r="D163" s="242">
        <f>(AND(D$8&gt;=YEAR(PhaseIIIPreconBegin),D$8&lt;=YEAR(PhaseIIIConEnd)))*SUM($D161:$N161)*'Assumptions-Overall'!$H$44/(YEAR(PhaseIIIConEnd)-YEAR(PhaseIIIPreconBegin)+1)</f>
        <v>0</v>
      </c>
      <c r="E163" s="242">
        <f>(AND(E$8&gt;=YEAR(PhaseIIIPreconBegin),E$8&lt;=YEAR(PhaseIIIConEnd)))*SUM($D161:$N161)*'Assumptions-Overall'!$H$44/(YEAR(PhaseIIIConEnd)-YEAR(PhaseIIIPreconBegin)+1)</f>
        <v>0</v>
      </c>
      <c r="F163" s="242">
        <f>(AND(F$8&gt;=YEAR(PhaseIIIPreconBegin),F$8&lt;=YEAR(PhaseIIIConEnd)))*SUM($D161:$N161)*'Assumptions-Overall'!$H$44/(YEAR(PhaseIIIConEnd)-YEAR(PhaseIIIPreconBegin)+1)</f>
        <v>0</v>
      </c>
      <c r="G163" s="242">
        <f>(AND(G$8&gt;=YEAR(PhaseIIIPreconBegin),G$8&lt;=YEAR(PhaseIIIConEnd)))*SUM($D161:$N161)*'Assumptions-Overall'!$H$44/(YEAR(PhaseIIIConEnd)-YEAR(PhaseIIIPreconBegin)+1)</f>
        <v>0</v>
      </c>
      <c r="H163" s="242">
        <f>(AND(H$8&gt;=YEAR(PhaseIIIPreconBegin),H$8&lt;=YEAR(PhaseIIIConEnd)))*SUM($D161:$N161)*'Assumptions-Overall'!$H$44/(YEAR(PhaseIIIConEnd)-YEAR(PhaseIIIPreconBegin)+1)</f>
        <v>-1764067.3892907042</v>
      </c>
      <c r="I163" s="242">
        <f>(AND(I$8&gt;=YEAR(PhaseIIIPreconBegin),I$8&lt;=YEAR(PhaseIIIConEnd)))*SUM($D161:$N161)*'Assumptions-Overall'!$H$44/(YEAR(PhaseIIIConEnd)-YEAR(PhaseIIIPreconBegin)+1)</f>
        <v>-1764067.3892907042</v>
      </c>
      <c r="J163" s="242">
        <f>(AND(J$8&gt;=YEAR(PhaseIIIPreconBegin),J$8&lt;=YEAR(PhaseIIIConEnd)))*SUM($D161:$N161)*'Assumptions-Overall'!$H$44/(YEAR(PhaseIIIConEnd)-YEAR(PhaseIIIPreconBegin)+1)</f>
        <v>-1764067.3892907042</v>
      </c>
      <c r="K163" s="242">
        <f>(AND(K$8&gt;=YEAR(PhaseIIIPreconBegin),K$8&lt;=YEAR(PhaseIIIConEnd)))*SUM($D161:$N161)*'Assumptions-Overall'!$H$44/(YEAR(PhaseIIIConEnd)-YEAR(PhaseIIIPreconBegin)+1)</f>
        <v>-1764067.3892907042</v>
      </c>
      <c r="L163" s="242">
        <f>(AND(L$8&gt;=YEAR(PhaseIIIPreconBegin),L$8&lt;=YEAR(PhaseIIIConEnd)))*SUM($D161:$N161)*'Assumptions-Overall'!$H$44/(YEAR(PhaseIIIConEnd)-YEAR(PhaseIIIPreconBegin)+1)</f>
        <v>0</v>
      </c>
      <c r="M163" s="242">
        <f>(AND(M$8&gt;=YEAR(PhaseIIIPreconBegin),M$8&lt;=YEAR(PhaseIIIConEnd)))*SUM($D161:$N161)*'Assumptions-Overall'!$H$44/(YEAR(PhaseIIIConEnd)-YEAR(PhaseIIIPreconBegin)+1)</f>
        <v>0</v>
      </c>
      <c r="N163" s="247"/>
    </row>
    <row r="164" spans="2:14" x14ac:dyDescent="0.2">
      <c r="B164" s="4" t="s">
        <v>184</v>
      </c>
      <c r="C164" s="12"/>
      <c r="D164" s="240">
        <f>SUM(D161:D163)*'Assumptions-Overall'!$H$45</f>
        <v>0</v>
      </c>
      <c r="E164" s="240">
        <f>SUM(E161:E163)*'Assumptions-Overall'!$H$45</f>
        <v>0</v>
      </c>
      <c r="F164" s="240">
        <f>SUM(F161:F163)*'Assumptions-Overall'!$H$45</f>
        <v>0</v>
      </c>
      <c r="G164" s="240">
        <f>SUM(G161:G163)*'Assumptions-Overall'!$H$45</f>
        <v>0</v>
      </c>
      <c r="H164" s="240">
        <f>SUM(H161:H163)*'Assumptions-Overall'!$H$45</f>
        <v>-74090.830350209566</v>
      </c>
      <c r="I164" s="240">
        <f>SUM(I161:I163)*'Assumptions-Overall'!$H$45</f>
        <v>-74090.830350209566</v>
      </c>
      <c r="J164" s="240">
        <f>SUM(J161:J163)*'Assumptions-Overall'!$H$45</f>
        <v>-769289.80149925558</v>
      </c>
      <c r="K164" s="240">
        <f>SUM(K161:K163)*'Assumptions-Overall'!$H$45</f>
        <v>-790145.77063372696</v>
      </c>
      <c r="L164" s="240">
        <f>SUM(L161:L163)*'Assumptions-Overall'!$H$45</f>
        <v>0</v>
      </c>
      <c r="M164" s="240">
        <f>SUM(M161:M163)*'Assumptions-Overall'!$H$45</f>
        <v>0</v>
      </c>
      <c r="N164" s="247"/>
    </row>
    <row r="165" spans="2:14" x14ac:dyDescent="0.2">
      <c r="B165" s="4" t="s">
        <v>313</v>
      </c>
      <c r="C165" s="12"/>
      <c r="D165" s="242">
        <f>SUM(D161:D164)</f>
        <v>0</v>
      </c>
      <c r="E165" s="242">
        <f t="shared" ref="E165" si="96">SUM(E161:E164)</f>
        <v>0</v>
      </c>
      <c r="F165" s="242">
        <f t="shared" ref="F165" si="97">SUM(F161:F164)</f>
        <v>0</v>
      </c>
      <c r="G165" s="242">
        <f t="shared" ref="G165" si="98">SUM(G161:G164)</f>
        <v>0</v>
      </c>
      <c r="H165" s="242">
        <f t="shared" ref="H165" si="99">SUM(H161:H164)</f>
        <v>-2543785.1753571951</v>
      </c>
      <c r="I165" s="242">
        <f t="shared" ref="I165" si="100">SUM(I161:I164)</f>
        <v>-2543785.1753571951</v>
      </c>
      <c r="J165" s="242">
        <f t="shared" ref="J165" si="101">SUM(J161:J164)</f>
        <v>-26412283.184807774</v>
      </c>
      <c r="K165" s="242">
        <f t="shared" ref="K165" si="102">SUM(K161:K164)</f>
        <v>-27128338.125091292</v>
      </c>
      <c r="L165" s="242">
        <f t="shared" ref="L165" si="103">SUM(L161:L164)</f>
        <v>0</v>
      </c>
      <c r="M165" s="242">
        <f t="shared" ref="M165" si="104">SUM(M161:M164)</f>
        <v>0</v>
      </c>
      <c r="N165" s="247"/>
    </row>
    <row r="166" spans="2:14" x14ac:dyDescent="0.2">
      <c r="B166" s="4"/>
      <c r="C166" s="1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7"/>
    </row>
    <row r="167" spans="2:14" x14ac:dyDescent="0.2">
      <c r="B167" s="4" t="s">
        <v>319</v>
      </c>
      <c r="C167" s="12"/>
      <c r="D167" s="242">
        <f>ABS((D$8=YEAR(PhaseIIIComplete))*MAX(SUM(D133:D136)*'Assumptions-ResRental'!$R$15,'Assumptions-ResRental'!$R$14*'CashFlow-ResRental'!$D165:$N165))</f>
        <v>0</v>
      </c>
      <c r="E167" s="242">
        <f>ABS((E$8=YEAR(PhaseIIIComplete))*MAX(SUM(E133:E136)*'Assumptions-ResRental'!$R$15,'Assumptions-ResRental'!$R$14*'CashFlow-ResRental'!$D165:$N165))</f>
        <v>0</v>
      </c>
      <c r="F167" s="242">
        <f>ABS((F$8=YEAR(PhaseIIIComplete))*MAX(SUM(F133:F136)*'Assumptions-ResRental'!$R$15,'Assumptions-ResRental'!$R$14*'CashFlow-ResRental'!$D165:$N165))</f>
        <v>0</v>
      </c>
      <c r="G167" s="242">
        <f>ABS((G$8=YEAR(PhaseIIIComplete))*MAX(SUM(G133:G136)*'Assumptions-ResRental'!$R$15,'Assumptions-ResRental'!$R$14*'CashFlow-ResRental'!$D165:$N165))</f>
        <v>0</v>
      </c>
      <c r="H167" s="242">
        <f>ABS((H$8=YEAR(PhaseIIIComplete))*MAX(SUM(H133:H136)*'Assumptions-ResRental'!$R$15,'Assumptions-ResRental'!$R$14*'CashFlow-ResRental'!$D165:$N165))</f>
        <v>0</v>
      </c>
      <c r="I167" s="242">
        <f>ABS((I$8=YEAR(PhaseIIIComplete))*MAX(SUM(I133:I136)*'Assumptions-ResRental'!$R$15,'Assumptions-ResRental'!$R$14*'CashFlow-ResRental'!$D165:$N165))</f>
        <v>0</v>
      </c>
      <c r="J167" s="242">
        <f>ABS((J$8=YEAR(PhaseIIIComplete))*MAX(SUM(J133:J136)*'Assumptions-ResRental'!$R$15,'Assumptions-ResRental'!$R$14*'CashFlow-ResRental'!$D165:$N165))</f>
        <v>0</v>
      </c>
      <c r="K167" s="242">
        <f>ABS((K$8=YEAR(PhaseIIIComplete))*MAX(SUM(K133:K136)*'Assumptions-ResRental'!$R$15,'Assumptions-ResRental'!$R$14*'CashFlow-ResRental'!$D165:$N165))</f>
        <v>0</v>
      </c>
      <c r="L167" s="242">
        <f>ABS((L$8=YEAR(PhaseIIIComplete))*MAX(SUM(L133:L136)*'Assumptions-ResRental'!$R$15,'Assumptions-ResRental'!$R$14*'CashFlow-ResRental'!$D165:$N165))</f>
        <v>3000000</v>
      </c>
      <c r="M167" s="242">
        <f>ABS((M$8=YEAR(PhaseIIIComplete))*MAX(SUM(M133:M136)*'Assumptions-ResRental'!$R$15,'Assumptions-ResRental'!$R$14*'CashFlow-ResRental'!$D165:$N165))</f>
        <v>0</v>
      </c>
      <c r="N167" s="247"/>
    </row>
    <row r="168" spans="2:14" x14ac:dyDescent="0.2">
      <c r="B168" s="4"/>
      <c r="C168" s="1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7"/>
    </row>
    <row r="169" spans="2:14" x14ac:dyDescent="0.2">
      <c r="B169" s="53" t="s">
        <v>314</v>
      </c>
      <c r="C169" s="1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7"/>
    </row>
    <row r="170" spans="2:14" x14ac:dyDescent="0.2">
      <c r="B170" s="4" t="s">
        <v>316</v>
      </c>
      <c r="C170" s="12"/>
      <c r="D170" s="242">
        <f>(D$8=YEAR('Assumptions-Overall'!$C$30))*E154/'Assumptions-Overall'!$Y$9</f>
        <v>0</v>
      </c>
      <c r="E170" s="242">
        <f>(E$8=YEAR('Assumptions-Overall'!$C$30))*F154/'Assumptions-Overall'!$Y$9</f>
        <v>0</v>
      </c>
      <c r="F170" s="242">
        <f>(F$8=YEAR('Assumptions-Overall'!$C$30))*G154/'Assumptions-Overall'!$Y$9</f>
        <v>0</v>
      </c>
      <c r="G170" s="242">
        <f>(G$8=YEAR('Assumptions-Overall'!$C$30))*H154/'Assumptions-Overall'!$Y$9</f>
        <v>0</v>
      </c>
      <c r="H170" s="242">
        <f>(H$8=YEAR('Assumptions-Overall'!$C$30))*I154/'Assumptions-Overall'!$Y$9</f>
        <v>0</v>
      </c>
      <c r="I170" s="242">
        <f>(I$8=YEAR('Assumptions-Overall'!$C$30))*J154/'Assumptions-Overall'!$Y$9</f>
        <v>0</v>
      </c>
      <c r="J170" s="242">
        <f>(J$8=YEAR('Assumptions-Overall'!$C$30))*K154/'Assumptions-Overall'!$Y$9</f>
        <v>0</v>
      </c>
      <c r="K170" s="242">
        <f>(K$8=YEAR('Assumptions-Overall'!$C$30))*L154/'Assumptions-Overall'!$Y$9</f>
        <v>0</v>
      </c>
      <c r="L170" s="242">
        <f>(L$8=YEAR('Assumptions-Overall'!$C$30))*M154/'Assumptions-Overall'!$Y$9</f>
        <v>0</v>
      </c>
      <c r="M170" s="242">
        <f>(M$8=YEAR('Assumptions-Overall'!$C$30))*N154/'Assumptions-Overall'!$Y$9</f>
        <v>79724189.89462544</v>
      </c>
      <c r="N170" s="247"/>
    </row>
    <row r="171" spans="2:14" x14ac:dyDescent="0.2">
      <c r="B171" s="4" t="s">
        <v>317</v>
      </c>
      <c r="C171" s="12"/>
      <c r="D171" s="240">
        <f>-D170*'Assumptions-Overall'!$U$27</f>
        <v>0</v>
      </c>
      <c r="E171" s="240">
        <f>-E170*'Assumptions-Overall'!$U$27</f>
        <v>0</v>
      </c>
      <c r="F171" s="240">
        <f>-F170*'Assumptions-Overall'!$U$27</f>
        <v>0</v>
      </c>
      <c r="G171" s="240">
        <f>-G170*'Assumptions-Overall'!$U$27</f>
        <v>0</v>
      </c>
      <c r="H171" s="240">
        <f>-H170*'Assumptions-Overall'!$U$27</f>
        <v>0</v>
      </c>
      <c r="I171" s="240">
        <f>-I170*'Assumptions-Overall'!$U$27</f>
        <v>0</v>
      </c>
      <c r="J171" s="240">
        <f>-J170*'Assumptions-Overall'!$U$27</f>
        <v>0</v>
      </c>
      <c r="K171" s="240">
        <f>-K170*'Assumptions-Overall'!$U$27</f>
        <v>0</v>
      </c>
      <c r="L171" s="240">
        <f>-L170*'Assumptions-Overall'!$U$27</f>
        <v>0</v>
      </c>
      <c r="M171" s="240">
        <f>-M170*'Assumptions-Overall'!$U$27</f>
        <v>-797241.8989462544</v>
      </c>
      <c r="N171" s="247"/>
    </row>
    <row r="172" spans="2:14" x14ac:dyDescent="0.2">
      <c r="B172" s="4" t="s">
        <v>318</v>
      </c>
      <c r="C172" s="12"/>
      <c r="D172" s="242">
        <f>SUM(D170:D171)</f>
        <v>0</v>
      </c>
      <c r="E172" s="242">
        <f t="shared" ref="E172" si="105">SUM(E170:E171)</f>
        <v>0</v>
      </c>
      <c r="F172" s="242">
        <f t="shared" ref="F172" si="106">SUM(F170:F171)</f>
        <v>0</v>
      </c>
      <c r="G172" s="242">
        <f t="shared" ref="G172" si="107">SUM(G170:G171)</f>
        <v>0</v>
      </c>
      <c r="H172" s="242">
        <f t="shared" ref="H172" si="108">SUM(H170:H171)</f>
        <v>0</v>
      </c>
      <c r="I172" s="242">
        <f t="shared" ref="I172" si="109">SUM(I170:I171)</f>
        <v>0</v>
      </c>
      <c r="J172" s="242">
        <f t="shared" ref="J172" si="110">SUM(J170:J171)</f>
        <v>0</v>
      </c>
      <c r="K172" s="242">
        <f t="shared" ref="K172" si="111">SUM(K170:K171)</f>
        <v>0</v>
      </c>
      <c r="L172" s="242">
        <f t="shared" ref="L172" si="112">SUM(L170:L171)</f>
        <v>0</v>
      </c>
      <c r="M172" s="242">
        <f t="shared" ref="M172" si="113">SUM(M170:M171)</f>
        <v>78926947.995679185</v>
      </c>
      <c r="N172" s="247"/>
    </row>
    <row r="173" spans="2:14" x14ac:dyDescent="0.2">
      <c r="B173" s="4"/>
      <c r="C173" s="1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7"/>
    </row>
    <row r="174" spans="2:14" x14ac:dyDescent="0.2">
      <c r="B174" s="4" t="s">
        <v>315</v>
      </c>
      <c r="C174" s="12"/>
      <c r="D174" s="242">
        <f>D158+D165+D167+D172</f>
        <v>0</v>
      </c>
      <c r="E174" s="242">
        <f t="shared" ref="E174:M174" si="114">E158+E165+E167+E172</f>
        <v>0</v>
      </c>
      <c r="F174" s="242">
        <f t="shared" si="114"/>
        <v>0</v>
      </c>
      <c r="G174" s="242">
        <f t="shared" si="114"/>
        <v>0</v>
      </c>
      <c r="H174" s="242">
        <f t="shared" si="114"/>
        <v>-2543785.1753571951</v>
      </c>
      <c r="I174" s="242">
        <f t="shared" si="114"/>
        <v>-2543785.1753571951</v>
      </c>
      <c r="J174" s="242">
        <f t="shared" si="114"/>
        <v>-26412283.184807774</v>
      </c>
      <c r="K174" s="242">
        <f t="shared" si="114"/>
        <v>-27128338.125091292</v>
      </c>
      <c r="L174" s="242">
        <f t="shared" si="114"/>
        <v>5006786.5426113736</v>
      </c>
      <c r="M174" s="242">
        <f t="shared" si="114"/>
        <v>81782076.70991759</v>
      </c>
      <c r="N174" s="247"/>
    </row>
    <row r="175" spans="2:14" x14ac:dyDescent="0.2">
      <c r="B175" s="4" t="s">
        <v>320</v>
      </c>
      <c r="C175" s="254">
        <f>IFERROR(IRR(D174:M174),"n/a")</f>
        <v>0.15956011791614455</v>
      </c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7"/>
    </row>
    <row r="176" spans="2:14" ht="12.75" thickBot="1" x14ac:dyDescent="0.25">
      <c r="B176" s="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6"/>
    </row>
    <row r="178" spans="2:13" x14ac:dyDescent="0.2">
      <c r="B178" s="1" t="s">
        <v>407</v>
      </c>
      <c r="D178" s="285">
        <f>D174+D118+D62</f>
        <v>0</v>
      </c>
      <c r="E178" s="285">
        <f t="shared" ref="E178:M178" si="115">E174+E118+E62</f>
        <v>0</v>
      </c>
      <c r="F178" s="285">
        <f t="shared" si="115"/>
        <v>-2895161.3497565342</v>
      </c>
      <c r="G178" s="285">
        <f t="shared" si="115"/>
        <v>-2895161.3497565342</v>
      </c>
      <c r="H178" s="285">
        <f t="shared" si="115"/>
        <v>-32604429.516026553</v>
      </c>
      <c r="I178" s="285">
        <f t="shared" si="115"/>
        <v>-33419394.005753938</v>
      </c>
      <c r="J178" s="285">
        <f t="shared" si="115"/>
        <v>-20779293.665474057</v>
      </c>
      <c r="K178" s="285">
        <f t="shared" si="115"/>
        <v>-24235277.375078265</v>
      </c>
      <c r="L178" s="285">
        <f t="shared" si="115"/>
        <v>7984412.3262966089</v>
      </c>
      <c r="M178" s="285">
        <f t="shared" si="115"/>
        <v>169589311.02013558</v>
      </c>
    </row>
    <row r="179" spans="2:13" x14ac:dyDescent="0.2">
      <c r="B179" s="1" t="s">
        <v>408</v>
      </c>
      <c r="C179" s="286">
        <f>IRR(D178:M178)</f>
        <v>0.11491981431139831</v>
      </c>
    </row>
  </sheetData>
  <mergeCells count="2">
    <mergeCell ref="B6:N6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C577-D650-4C0D-85C5-5007DE191DBF}">
  <sheetPr>
    <tabColor theme="8" tint="0.39997558519241921"/>
  </sheetPr>
  <dimension ref="B1:P26"/>
  <sheetViews>
    <sheetView workbookViewId="0">
      <selection activeCell="H13" sqref="H13:I20"/>
    </sheetView>
    <sheetView workbookViewId="1"/>
  </sheetViews>
  <sheetFormatPr defaultRowHeight="12" x14ac:dyDescent="0.2"/>
  <cols>
    <col min="1" max="1" width="2.85546875" style="1" customWidth="1"/>
    <col min="2" max="2" width="22.42578125" style="1" bestFit="1" customWidth="1"/>
    <col min="3" max="3" width="9.140625" style="1"/>
    <col min="4" max="4" width="6.7109375" style="1" bestFit="1" customWidth="1"/>
    <col min="5" max="5" width="7.28515625" style="1" bestFit="1" customWidth="1"/>
    <col min="6" max="6" width="7.85546875" style="1" bestFit="1" customWidth="1"/>
    <col min="7" max="7" width="2.85546875" style="1" customWidth="1"/>
    <col min="8" max="8" width="19.85546875" style="1" bestFit="1" customWidth="1"/>
    <col min="9" max="9" width="14.5703125" style="1" bestFit="1" customWidth="1"/>
    <col min="10" max="10" width="13.5703125" style="1" bestFit="1" customWidth="1"/>
    <col min="11" max="11" width="17.42578125" style="1" bestFit="1" customWidth="1"/>
    <col min="12" max="12" width="2.85546875" style="1" customWidth="1"/>
    <col min="13" max="13" width="23.85546875" style="1" bestFit="1" customWidth="1"/>
    <col min="14" max="14" width="14.5703125" style="1" bestFit="1" customWidth="1"/>
    <col min="15" max="15" width="7.7109375" style="1" bestFit="1" customWidth="1"/>
    <col min="16" max="16" width="11.28515625" style="1" bestFit="1" customWidth="1"/>
    <col min="17" max="17" width="2.85546875" style="1" customWidth="1"/>
    <col min="18" max="18" width="19.85546875" style="1" bestFit="1" customWidth="1"/>
    <col min="19" max="19" width="9.5703125" style="1" bestFit="1" customWidth="1"/>
    <col min="20" max="16384" width="9.140625" style="1"/>
  </cols>
  <sheetData>
    <row r="1" spans="2:16" ht="12.75" thickBot="1" x14ac:dyDescent="0.25"/>
    <row r="2" spans="2:16" x14ac:dyDescent="0.2">
      <c r="B2" s="417" t="s">
        <v>59</v>
      </c>
      <c r="C2" s="418"/>
    </row>
    <row r="3" spans="2:16" x14ac:dyDescent="0.2">
      <c r="B3" s="4" t="s">
        <v>58</v>
      </c>
      <c r="C3" s="5" t="str">
        <f>ProjectName</f>
        <v>Montage</v>
      </c>
    </row>
    <row r="4" spans="2:16" ht="12.75" thickBot="1" x14ac:dyDescent="0.25">
      <c r="B4" s="6" t="s">
        <v>56</v>
      </c>
      <c r="C4" s="7">
        <f>TeamNumber</f>
        <v>181430</v>
      </c>
    </row>
    <row r="5" spans="2:16" ht="12.75" thickBot="1" x14ac:dyDescent="0.25"/>
    <row r="6" spans="2:16" x14ac:dyDescent="0.2">
      <c r="B6" s="419" t="s">
        <v>215</v>
      </c>
      <c r="C6" s="420"/>
      <c r="D6" s="420"/>
      <c r="E6" s="420"/>
      <c r="F6" s="421"/>
      <c r="H6" s="419" t="s">
        <v>223</v>
      </c>
      <c r="I6" s="420"/>
      <c r="J6" s="420"/>
      <c r="K6" s="421"/>
      <c r="M6" s="419" t="s">
        <v>224</v>
      </c>
      <c r="N6" s="420"/>
      <c r="O6" s="420"/>
      <c r="P6" s="421"/>
    </row>
    <row r="7" spans="2:16" x14ac:dyDescent="0.2">
      <c r="B7" s="50" t="s">
        <v>216</v>
      </c>
      <c r="C7" s="34"/>
      <c r="D7" s="64" t="s">
        <v>171</v>
      </c>
      <c r="E7" s="34" t="s">
        <v>171</v>
      </c>
      <c r="F7" s="5" t="s">
        <v>171</v>
      </c>
      <c r="H7" s="53" t="s">
        <v>63</v>
      </c>
      <c r="I7" s="160" t="s">
        <v>173</v>
      </c>
      <c r="J7" s="54" t="s">
        <v>218</v>
      </c>
      <c r="K7" s="56" t="s">
        <v>219</v>
      </c>
      <c r="M7" s="53" t="s">
        <v>63</v>
      </c>
      <c r="N7" s="160" t="s">
        <v>173</v>
      </c>
      <c r="O7" s="54" t="s">
        <v>218</v>
      </c>
      <c r="P7" s="56" t="s">
        <v>219</v>
      </c>
    </row>
    <row r="8" spans="2:16" x14ac:dyDescent="0.2">
      <c r="B8" s="53" t="s">
        <v>63</v>
      </c>
      <c r="C8" s="54" t="s">
        <v>170</v>
      </c>
      <c r="D8" s="55" t="s">
        <v>29</v>
      </c>
      <c r="E8" s="54" t="s">
        <v>28</v>
      </c>
      <c r="F8" s="56" t="s">
        <v>27</v>
      </c>
      <c r="H8" s="4" t="s">
        <v>15</v>
      </c>
      <c r="I8" s="57">
        <f>BuildingSummary!U56</f>
        <v>499.97999674267112</v>
      </c>
      <c r="J8" s="172">
        <v>950</v>
      </c>
      <c r="K8" s="164">
        <f>I8*J8</f>
        <v>474980.99690553755</v>
      </c>
      <c r="M8" s="4" t="s">
        <v>15</v>
      </c>
      <c r="N8" s="57">
        <f>I8</f>
        <v>499.97999674267112</v>
      </c>
      <c r="O8" s="221">
        <f>J8*(1-N26)</f>
        <v>855</v>
      </c>
      <c r="P8" s="164">
        <f>N8*O8</f>
        <v>427482.89721498382</v>
      </c>
    </row>
    <row r="9" spans="2:16" x14ac:dyDescent="0.2">
      <c r="B9" s="4" t="s">
        <v>15</v>
      </c>
      <c r="C9" s="57">
        <f>SUM(D9:F9)</f>
        <v>209</v>
      </c>
      <c r="D9" s="58">
        <f>SUMIFS(BuildingSummary!$C50:$Q50,BuildingSummary!$C$32:$Q$32,"Condominium",BuildingSummary!$C$18:$Q$18,'Assumptions-ResRental'!D$8)</f>
        <v>121</v>
      </c>
      <c r="E9" s="57">
        <f>SUMIFS(BuildingSummary!$C50:$Q50,BuildingSummary!$C$32:$Q$32,"Condominium",BuildingSummary!$C$18:$Q$18,'Assumptions-ResRental'!E$8)</f>
        <v>59</v>
      </c>
      <c r="F9" s="59">
        <f>SUMIFS(BuildingSummary!$C50:$Q50,BuildingSummary!$C$32:$Q$32,"Condominium",BuildingSummary!$C$18:$Q$18,'Assumptions-ResRental'!F$8)</f>
        <v>29</v>
      </c>
      <c r="H9" s="4" t="s">
        <v>14</v>
      </c>
      <c r="I9" s="57">
        <f>BuildingSummary!U57</f>
        <v>755.62486688888896</v>
      </c>
      <c r="J9" s="172">
        <v>925</v>
      </c>
      <c r="K9" s="164">
        <f t="shared" ref="K9:K11" si="0">I9*J9</f>
        <v>698953.00187222229</v>
      </c>
      <c r="M9" s="4" t="s">
        <v>14</v>
      </c>
      <c r="N9" s="57">
        <f>I9</f>
        <v>755.62486688888896</v>
      </c>
      <c r="O9" s="221">
        <f t="shared" ref="O9:O11" si="1">J9*(1-N27)</f>
        <v>925</v>
      </c>
      <c r="P9" s="164">
        <f t="shared" ref="P9:P11" si="2">N9*O9</f>
        <v>698953.00187222229</v>
      </c>
    </row>
    <row r="10" spans="2:16" x14ac:dyDescent="0.2">
      <c r="B10" s="4" t="s">
        <v>14</v>
      </c>
      <c r="C10" s="57">
        <f>SUM(D10:F10)</f>
        <v>293</v>
      </c>
      <c r="D10" s="58">
        <f>SUMIFS(BuildingSummary!$C51:$Q51,BuildingSummary!$C$32:$Q$32,"Condominium",BuildingSummary!$C$18:$Q$18,'Assumptions-ResRental'!D$8)</f>
        <v>153</v>
      </c>
      <c r="E10" s="57">
        <f>SUMIFS(BuildingSummary!$C51:$Q51,BuildingSummary!$C$32:$Q$32,"Condominium",BuildingSummary!$C$18:$Q$18,'Assumptions-ResRental'!E$8)</f>
        <v>93</v>
      </c>
      <c r="F10" s="59">
        <f>SUMIFS(BuildingSummary!$C51:$Q51,BuildingSummary!$C$32:$Q$32,"Condominium",BuildingSummary!$C$18:$Q$18,'Assumptions-ResRental'!F$8)</f>
        <v>47</v>
      </c>
      <c r="H10" s="4" t="s">
        <v>13</v>
      </c>
      <c r="I10" s="57">
        <f>BuildingSummary!U58</f>
        <v>961.69226557377033</v>
      </c>
      <c r="J10" s="172">
        <v>900</v>
      </c>
      <c r="K10" s="164">
        <f t="shared" si="0"/>
        <v>865523.03901639325</v>
      </c>
      <c r="M10" s="4" t="s">
        <v>13</v>
      </c>
      <c r="N10" s="57">
        <f>I10</f>
        <v>961.69226557377033</v>
      </c>
      <c r="O10" s="221">
        <f t="shared" si="1"/>
        <v>900</v>
      </c>
      <c r="P10" s="164">
        <f t="shared" si="2"/>
        <v>865523.03901639325</v>
      </c>
    </row>
    <row r="11" spans="2:16" ht="12.75" thickBot="1" x14ac:dyDescent="0.25">
      <c r="B11" s="4" t="s">
        <v>13</v>
      </c>
      <c r="C11" s="57">
        <f>SUM(D11:F11)</f>
        <v>55</v>
      </c>
      <c r="D11" s="58">
        <f>SUMIFS(BuildingSummary!$C52:$Q52,BuildingSummary!$C$32:$Q$32,"Condominium",BuildingSummary!$C$18:$Q$18,'Assumptions-ResRental'!D$8)</f>
        <v>38</v>
      </c>
      <c r="E11" s="57">
        <f>SUMIFS(BuildingSummary!$C52:$Q52,BuildingSummary!$C$32:$Q$32,"Condominium",BuildingSummary!$C$18:$Q$18,'Assumptions-ResRental'!E$8)</f>
        <v>10</v>
      </c>
      <c r="F11" s="59">
        <f>SUMIFS(BuildingSummary!$C52:$Q52,BuildingSummary!$C$32:$Q$32,"Condominium",BuildingSummary!$C$18:$Q$18,'Assumptions-ResRental'!F$8)</f>
        <v>7</v>
      </c>
      <c r="H11" s="6" t="s">
        <v>12</v>
      </c>
      <c r="I11" s="65">
        <f>BuildingSummary!U59</f>
        <v>1152.7017313432834</v>
      </c>
      <c r="J11" s="183">
        <v>875</v>
      </c>
      <c r="K11" s="166">
        <f t="shared" si="0"/>
        <v>1008614.014925373</v>
      </c>
      <c r="M11" s="6" t="s">
        <v>12</v>
      </c>
      <c r="N11" s="65">
        <f>I11</f>
        <v>1152.7017313432834</v>
      </c>
      <c r="O11" s="222">
        <f t="shared" si="1"/>
        <v>875</v>
      </c>
      <c r="P11" s="166">
        <f t="shared" si="2"/>
        <v>1008614.014925373</v>
      </c>
    </row>
    <row r="12" spans="2:16" ht="12.75" thickBot="1" x14ac:dyDescent="0.25">
      <c r="B12" s="4" t="s">
        <v>12</v>
      </c>
      <c r="C12" s="60">
        <f>SUM(D12:F12)</f>
        <v>46</v>
      </c>
      <c r="D12" s="61">
        <f>SUMIFS(BuildingSummary!$C53:$Q53,BuildingSummary!$C$32:$Q$32,"Condominium",BuildingSummary!$C$18:$Q$18,'Assumptions-ResRental'!D$8)</f>
        <v>29</v>
      </c>
      <c r="E12" s="62">
        <f>SUMIFS(BuildingSummary!$C53:$Q53,BuildingSummary!$C$32:$Q$32,"Condominium",BuildingSummary!$C$18:$Q$18,'Assumptions-ResRental'!E$8)</f>
        <v>13</v>
      </c>
      <c r="F12" s="63">
        <f>SUMIFS(BuildingSummary!$C53:$Q53,BuildingSummary!$C$32:$Q$32,"Condominium",BuildingSummary!$C$18:$Q$18,'Assumptions-ResRental'!F$8)</f>
        <v>4</v>
      </c>
    </row>
    <row r="13" spans="2:16" x14ac:dyDescent="0.2">
      <c r="B13" s="4" t="s">
        <v>32</v>
      </c>
      <c r="C13" s="57">
        <f>SUM(C9:C12)</f>
        <v>603</v>
      </c>
      <c r="D13" s="58">
        <f>SUM(D9:D12)</f>
        <v>341</v>
      </c>
      <c r="E13" s="57">
        <f>SUM(E9:E12)</f>
        <v>175</v>
      </c>
      <c r="F13" s="59">
        <f>SUM(F9:F12)</f>
        <v>87</v>
      </c>
      <c r="H13" s="419" t="s">
        <v>250</v>
      </c>
      <c r="I13" s="421"/>
      <c r="M13" s="362" t="s">
        <v>210</v>
      </c>
      <c r="N13" s="363"/>
    </row>
    <row r="14" spans="2:16" x14ac:dyDescent="0.2">
      <c r="B14" s="4"/>
      <c r="C14" s="34"/>
      <c r="D14" s="64"/>
      <c r="E14" s="34"/>
      <c r="F14" s="5"/>
      <c r="H14" s="53" t="s">
        <v>258</v>
      </c>
      <c r="I14" s="56" t="s">
        <v>213</v>
      </c>
      <c r="M14" s="435" t="s">
        <v>211</v>
      </c>
      <c r="N14" s="436"/>
    </row>
    <row r="15" spans="2:16" x14ac:dyDescent="0.2">
      <c r="B15" s="50" t="s">
        <v>217</v>
      </c>
      <c r="C15" s="34"/>
      <c r="D15" s="64" t="s">
        <v>171</v>
      </c>
      <c r="E15" s="34" t="s">
        <v>171</v>
      </c>
      <c r="F15" s="5" t="s">
        <v>171</v>
      </c>
      <c r="H15" s="4" t="s">
        <v>259</v>
      </c>
      <c r="I15" s="96">
        <v>0.75</v>
      </c>
      <c r="M15" s="53" t="s">
        <v>214</v>
      </c>
      <c r="N15" s="56" t="s">
        <v>213</v>
      </c>
    </row>
    <row r="16" spans="2:16" x14ac:dyDescent="0.2">
      <c r="B16" s="53" t="s">
        <v>63</v>
      </c>
      <c r="C16" s="54" t="s">
        <v>170</v>
      </c>
      <c r="D16" s="55" t="s">
        <v>29</v>
      </c>
      <c r="E16" s="54" t="s">
        <v>28</v>
      </c>
      <c r="F16" s="56" t="s">
        <v>27</v>
      </c>
      <c r="H16" s="4" t="s">
        <v>260</v>
      </c>
      <c r="I16" s="96">
        <v>0.25</v>
      </c>
      <c r="M16" s="4" t="s">
        <v>24</v>
      </c>
      <c r="N16" s="92">
        <f>'Assumptions-ResRental'!O16</f>
        <v>0.1</v>
      </c>
    </row>
    <row r="17" spans="2:14" x14ac:dyDescent="0.2">
      <c r="B17" s="4" t="s">
        <v>15</v>
      </c>
      <c r="C17" s="57">
        <f>SUM(D17:F17)</f>
        <v>16</v>
      </c>
      <c r="D17" s="58">
        <f>SUMIFS(BuildingSummary!$C44:$Q44,BuildingSummary!$C$32:$Q$32,"Condominium",BuildingSummary!$C$18:$Q$18,'Assumptions-ResRental'!D$8)</f>
        <v>8</v>
      </c>
      <c r="E17" s="57">
        <f>SUMIFS(BuildingSummary!$C44:$Q44,BuildingSummary!$C$32:$Q$32,"Condominium",BuildingSummary!$C$18:$Q$18,'Assumptions-ResRental'!E$8)</f>
        <v>5</v>
      </c>
      <c r="F17" s="59">
        <f>SUMIFS(BuildingSummary!$C44:$Q44,BuildingSummary!$C$32:$Q$32,"Condominium",BuildingSummary!$C$18:$Q$18,'Assumptions-ResRental'!F$8)</f>
        <v>3</v>
      </c>
      <c r="H17" s="4"/>
      <c r="I17" s="13"/>
      <c r="M17" s="4" t="s">
        <v>23</v>
      </c>
      <c r="N17" s="92">
        <f>'Assumptions-ResRental'!O17</f>
        <v>0.15</v>
      </c>
    </row>
    <row r="18" spans="2:14" x14ac:dyDescent="0.2">
      <c r="B18" s="4" t="s">
        <v>14</v>
      </c>
      <c r="C18" s="57">
        <f>SUM(D18:F18)</f>
        <v>23</v>
      </c>
      <c r="D18" s="58">
        <f>SUMIFS(BuildingSummary!$C45:$Q45,BuildingSummary!$C$32:$Q$32,"Condominium",BuildingSummary!$C$18:$Q$18,'Assumptions-ResRental'!D$8)</f>
        <v>12</v>
      </c>
      <c r="E18" s="57">
        <f>SUMIFS(BuildingSummary!$C45:$Q45,BuildingSummary!$C$32:$Q$32,"Condominium",BuildingSummary!$C$18:$Q$18,'Assumptions-ResRental'!E$8)</f>
        <v>7</v>
      </c>
      <c r="F18" s="59">
        <f>SUMIFS(BuildingSummary!$C45:$Q45,BuildingSummary!$C$32:$Q$32,"Condominium",BuildingSummary!$C$18:$Q$18,'Assumptions-ResRental'!F$8)</f>
        <v>4</v>
      </c>
      <c r="H18" s="4" t="s">
        <v>326</v>
      </c>
      <c r="I18" s="96">
        <v>0.2</v>
      </c>
      <c r="M18" s="4"/>
      <c r="N18" s="13"/>
    </row>
    <row r="19" spans="2:14" x14ac:dyDescent="0.2">
      <c r="B19" s="4" t="s">
        <v>13</v>
      </c>
      <c r="C19" s="57">
        <f>SUM(D19:F19)</f>
        <v>31</v>
      </c>
      <c r="D19" s="58">
        <f>SUMIFS(BuildingSummary!$C46:$Q46,BuildingSummary!$C$32:$Q$32,"Condominium",BuildingSummary!$C$18:$Q$18,'Assumptions-ResRental'!D$8)</f>
        <v>16</v>
      </c>
      <c r="E19" s="57">
        <f>SUMIFS(BuildingSummary!$C46:$Q46,BuildingSummary!$C$32:$Q$32,"Condominium",BuildingSummary!$C$18:$Q$18,'Assumptions-ResRental'!E$8)</f>
        <v>10</v>
      </c>
      <c r="F19" s="59">
        <f>SUMIFS(BuildingSummary!$C46:$Q46,BuildingSummary!$C$32:$Q$32,"Condominium",BuildingSummary!$C$18:$Q$18,'Assumptions-ResRental'!F$8)</f>
        <v>5</v>
      </c>
      <c r="H19" s="4"/>
      <c r="I19" s="13"/>
      <c r="M19" s="50" t="s">
        <v>212</v>
      </c>
      <c r="N19" s="5"/>
    </row>
    <row r="20" spans="2:14" ht="12.75" thickBot="1" x14ac:dyDescent="0.25">
      <c r="B20" s="4" t="s">
        <v>12</v>
      </c>
      <c r="C20" s="60">
        <f>SUM(D20:F20)</f>
        <v>9</v>
      </c>
      <c r="D20" s="61">
        <f>SUMIFS(BuildingSummary!$C47:$Q47,BuildingSummary!$C$32:$Q$32,"Condominium",BuildingSummary!$C$18:$Q$18,'Assumptions-ResRental'!D$8)</f>
        <v>4</v>
      </c>
      <c r="E20" s="62">
        <f>SUMIFS(BuildingSummary!$C47:$Q47,BuildingSummary!$C$32:$Q$32,"Condominium",BuildingSummary!$C$18:$Q$18,'Assumptions-ResRental'!E$8)</f>
        <v>3</v>
      </c>
      <c r="F20" s="63">
        <f>SUMIFS(BuildingSummary!$C47:$Q47,BuildingSummary!$C$32:$Q$32,"Condominium",BuildingSummary!$C$18:$Q$18,'Assumptions-ResRental'!F$8)</f>
        <v>2</v>
      </c>
      <c r="H20" s="6" t="s">
        <v>261</v>
      </c>
      <c r="I20" s="233">
        <v>0.03</v>
      </c>
      <c r="M20" s="53" t="s">
        <v>63</v>
      </c>
      <c r="N20" s="56" t="s">
        <v>213</v>
      </c>
    </row>
    <row r="21" spans="2:14" ht="12.75" thickBot="1" x14ac:dyDescent="0.25">
      <c r="B21" s="6" t="s">
        <v>32</v>
      </c>
      <c r="C21" s="65">
        <f>SUM(C17:C20)</f>
        <v>79</v>
      </c>
      <c r="D21" s="66">
        <f>SUM(D17:D20)</f>
        <v>40</v>
      </c>
      <c r="E21" s="65">
        <f>SUM(E17:E20)</f>
        <v>25</v>
      </c>
      <c r="F21" s="67">
        <f>SUM(F17:F20)</f>
        <v>14</v>
      </c>
      <c r="M21" s="4" t="s">
        <v>15</v>
      </c>
      <c r="N21" s="92">
        <f>'Assumptions-ResRental'!O21</f>
        <v>0.2</v>
      </c>
    </row>
    <row r="22" spans="2:14" x14ac:dyDescent="0.2">
      <c r="M22" s="4" t="s">
        <v>14</v>
      </c>
      <c r="N22" s="92">
        <f>'Assumptions-ResRental'!O22</f>
        <v>0.3</v>
      </c>
    </row>
    <row r="23" spans="2:14" x14ac:dyDescent="0.2">
      <c r="M23" s="4" t="s">
        <v>13</v>
      </c>
      <c r="N23" s="92">
        <f>'Assumptions-ResRental'!O23</f>
        <v>0.4</v>
      </c>
    </row>
    <row r="24" spans="2:14" x14ac:dyDescent="0.2">
      <c r="C24" s="138"/>
      <c r="M24" s="4" t="s">
        <v>12</v>
      </c>
      <c r="N24" s="92">
        <f>'Assumptions-ResRental'!O24</f>
        <v>0.1</v>
      </c>
    </row>
    <row r="25" spans="2:14" x14ac:dyDescent="0.2">
      <c r="M25" s="4"/>
      <c r="N25" s="13"/>
    </row>
    <row r="26" spans="2:14" ht="12.75" thickBot="1" x14ac:dyDescent="0.25">
      <c r="M26" s="6" t="s">
        <v>329</v>
      </c>
      <c r="N26" s="256">
        <v>0.1</v>
      </c>
    </row>
  </sheetData>
  <mergeCells count="6">
    <mergeCell ref="H13:I13"/>
    <mergeCell ref="M14:N14"/>
    <mergeCell ref="B2:C2"/>
    <mergeCell ref="B6:F6"/>
    <mergeCell ref="H6:K6"/>
    <mergeCell ref="M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9746-E6D5-48E6-997F-D84F4B83025D}">
  <sheetPr>
    <tabColor theme="2" tint="-0.499984740745262"/>
  </sheetPr>
  <dimension ref="B1:N113"/>
  <sheetViews>
    <sheetView topLeftCell="A58" workbookViewId="0"/>
    <sheetView workbookViewId="1"/>
  </sheetViews>
  <sheetFormatPr defaultRowHeight="12" x14ac:dyDescent="0.2"/>
  <cols>
    <col min="1" max="1" width="2.85546875" style="1" customWidth="1"/>
    <col min="2" max="2" width="31.140625" style="1" bestFit="1" customWidth="1"/>
    <col min="3" max="3" width="9.140625" style="1"/>
    <col min="4" max="14" width="11.42578125" style="1" customWidth="1"/>
    <col min="15" max="16384" width="9.140625" style="1"/>
  </cols>
  <sheetData>
    <row r="1" spans="2:14" ht="12.75" thickBot="1" x14ac:dyDescent="0.25"/>
    <row r="2" spans="2:14" x14ac:dyDescent="0.2">
      <c r="B2" s="417" t="s">
        <v>59</v>
      </c>
      <c r="C2" s="418"/>
    </row>
    <row r="3" spans="2:14" x14ac:dyDescent="0.2">
      <c r="B3" s="4" t="s">
        <v>58</v>
      </c>
      <c r="C3" s="5" t="str">
        <f>ProjectName</f>
        <v>Montage</v>
      </c>
    </row>
    <row r="4" spans="2:14" ht="12.75" thickBot="1" x14ac:dyDescent="0.25">
      <c r="B4" s="6" t="s">
        <v>56</v>
      </c>
      <c r="C4" s="7">
        <f>TeamNumber</f>
        <v>181430</v>
      </c>
    </row>
    <row r="5" spans="2:14" ht="12.75" thickBot="1" x14ac:dyDescent="0.25"/>
    <row r="6" spans="2:14" x14ac:dyDescent="0.2">
      <c r="B6" s="419" t="s">
        <v>321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1"/>
    </row>
    <row r="7" spans="2:14" x14ac:dyDescent="0.2">
      <c r="B7" s="4" t="s">
        <v>290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">
      <c r="B8" s="4" t="s">
        <v>291</v>
      </c>
      <c r="C8" s="12"/>
      <c r="D8" s="12">
        <f>YEAR('Assumptions-Overall'!C9)</f>
        <v>2018</v>
      </c>
      <c r="E8" s="12">
        <f>D8+1</f>
        <v>2019</v>
      </c>
      <c r="F8" s="12">
        <f t="shared" si="0"/>
        <v>2020</v>
      </c>
      <c r="G8" s="12">
        <f t="shared" si="0"/>
        <v>2021</v>
      </c>
      <c r="H8" s="12">
        <f t="shared" si="0"/>
        <v>2022</v>
      </c>
      <c r="I8" s="12">
        <f t="shared" si="0"/>
        <v>2023</v>
      </c>
      <c r="J8" s="12">
        <f t="shared" si="0"/>
        <v>2024</v>
      </c>
      <c r="K8" s="12">
        <f t="shared" si="0"/>
        <v>2025</v>
      </c>
      <c r="L8" s="12">
        <f t="shared" si="0"/>
        <v>2026</v>
      </c>
      <c r="M8" s="12">
        <f t="shared" si="0"/>
        <v>2027</v>
      </c>
      <c r="N8" s="13">
        <f t="shared" si="0"/>
        <v>2028</v>
      </c>
    </row>
    <row r="9" spans="2:14" x14ac:dyDescent="0.2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">
      <c r="B10" s="243" t="s">
        <v>292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">
      <c r="B11" s="4" t="s">
        <v>293</v>
      </c>
      <c r="C11" s="12"/>
      <c r="D11" s="244">
        <f>(D$8&gt;=YEAR(PhaseIComplete))*SUMIFS(BuildingSummary!$C$20:$Q$20,BuildingSummary!$C$32:$Q$32,"Condominium",BuildingSummary!$C$18:$Q$18,"I")+(D$8&gt;=YEAR(PhaseIComplete))*SUMIFS(BuildingSummary!$C$27:$Q$27,BuildingSummary!$C$32:$Q$32,"Condominium",BuildingSummary!$C$18:$Q$18,"I")</f>
        <v>0</v>
      </c>
      <c r="E11" s="244">
        <f>(E$8&gt;=YEAR(PhaseIComplete))*SUMIFS(BuildingSummary!$C$20:$Q$20,BuildingSummary!$C$32:$Q$32,"Condominium",BuildingSummary!$C$18:$Q$18,"I")+(E$8&gt;=YEAR(PhaseIComplete))*SUMIFS(BuildingSummary!$C$27:$Q$27,BuildingSummary!$C$32:$Q$32,"Condominium",BuildingSummary!$C$18:$Q$18,"I")</f>
        <v>0</v>
      </c>
      <c r="F11" s="244">
        <f>(F$8&gt;=YEAR(PhaseIComplete))*SUMIFS(BuildingSummary!$C$20:$Q$20,BuildingSummary!$C$32:$Q$32,"Condominium",BuildingSummary!$C$18:$Q$18,"I")+(F$8&gt;=YEAR(PhaseIComplete))*SUMIFS(BuildingSummary!$C$27:$Q$27,BuildingSummary!$C$32:$Q$32,"Condominium",BuildingSummary!$C$18:$Q$18,"I")</f>
        <v>0</v>
      </c>
      <c r="G11" s="244">
        <f>(G$8&gt;=YEAR(PhaseIComplete))*SUMIFS(BuildingSummary!$C$20:$Q$20,BuildingSummary!$C$32:$Q$32,"Condominium",BuildingSummary!$C$18:$Q$18,"I")+(G$8&gt;=YEAR(PhaseIComplete))*SUMIFS(BuildingSummary!$C$27:$Q$27,BuildingSummary!$C$32:$Q$32,"Condominium",BuildingSummary!$C$18:$Q$18,"I")</f>
        <v>0</v>
      </c>
      <c r="H11" s="244">
        <f>(H$8&gt;=YEAR(PhaseIComplete))*SUMIFS(BuildingSummary!$C$20:$Q$20,BuildingSummary!$C$32:$Q$32,"Condominium",BuildingSummary!$C$18:$Q$18,"I")+(H$8&gt;=YEAR(PhaseIComplete))*SUMIFS(BuildingSummary!$C$27:$Q$27,BuildingSummary!$C$32:$Q$32,"Condominium",BuildingSummary!$C$18:$Q$18,"I")</f>
        <v>404387.14</v>
      </c>
      <c r="I11" s="244">
        <f>(I$8&gt;=YEAR(PhaseIComplete))*SUMIFS(BuildingSummary!$C$20:$Q$20,BuildingSummary!$C$32:$Q$32,"Condominium",BuildingSummary!$C$18:$Q$18,"I")+(I$8&gt;=YEAR(PhaseIComplete))*SUMIFS(BuildingSummary!$C$27:$Q$27,BuildingSummary!$C$32:$Q$32,"Condominium",BuildingSummary!$C$18:$Q$18,"I")</f>
        <v>404387.14</v>
      </c>
      <c r="J11" s="244">
        <f>(J$8&gt;=YEAR(PhaseIComplete))*SUMIFS(BuildingSummary!$C$20:$Q$20,BuildingSummary!$C$32:$Q$32,"Condominium",BuildingSummary!$C$18:$Q$18,"I")+(J$8&gt;=YEAR(PhaseIComplete))*SUMIFS(BuildingSummary!$C$27:$Q$27,BuildingSummary!$C$32:$Q$32,"Condominium",BuildingSummary!$C$18:$Q$18,"I")</f>
        <v>404387.14</v>
      </c>
      <c r="K11" s="244">
        <f>(K$8&gt;=YEAR(PhaseIComplete))*SUMIFS(BuildingSummary!$C$20:$Q$20,BuildingSummary!$C$32:$Q$32,"Condominium",BuildingSummary!$C$18:$Q$18,"I")+(K$8&gt;=YEAR(PhaseIComplete))*SUMIFS(BuildingSummary!$C$27:$Q$27,BuildingSummary!$C$32:$Q$32,"Condominium",BuildingSummary!$C$18:$Q$18,"I")</f>
        <v>404387.14</v>
      </c>
      <c r="L11" s="244">
        <f>(L$8&gt;=YEAR(PhaseIComplete))*SUMIFS(BuildingSummary!$C$20:$Q$20,BuildingSummary!$C$32:$Q$32,"Condominium",BuildingSummary!$C$18:$Q$18,"I")+(L$8&gt;=YEAR(PhaseIComplete))*SUMIFS(BuildingSummary!$C$27:$Q$27,BuildingSummary!$C$32:$Q$32,"Condominium",BuildingSummary!$C$18:$Q$18,"I")</f>
        <v>404387.14</v>
      </c>
      <c r="M11" s="244">
        <f>(M$8&gt;=YEAR(PhaseIComplete))*SUMIFS(BuildingSummary!$C$20:$Q$20,BuildingSummary!$C$32:$Q$32,"Condominium",BuildingSummary!$C$18:$Q$18,"I")+(M$8&gt;=YEAR(PhaseIComplete))*SUMIFS(BuildingSummary!$C$27:$Q$27,BuildingSummary!$C$32:$Q$32,"Condominium",BuildingSummary!$C$18:$Q$18,"I")</f>
        <v>404387.14</v>
      </c>
      <c r="N11" s="245">
        <f>(N$8&gt;=YEAR(PhaseIComplete))*SUMIFS(BuildingSummary!$C$20:$Q$20,BuildingSummary!$C$32:$Q$32,"Condominium",BuildingSummary!$C$18:$Q$18,"I")+(N$8&gt;=YEAR(PhaseIComplete))*SUMIFS(BuildingSummary!$C$27:$Q$27,BuildingSummary!$C$32:$Q$32,"Condominium",BuildingSummary!$C$18:$Q$18,"I")</f>
        <v>404387.14</v>
      </c>
    </row>
    <row r="12" spans="2:14" x14ac:dyDescent="0.2">
      <c r="B12" s="4" t="s">
        <v>294</v>
      </c>
      <c r="C12" s="12"/>
      <c r="D12" s="244">
        <f>D11-C11</f>
        <v>0</v>
      </c>
      <c r="E12" s="244">
        <f t="shared" ref="E12:N12" si="1">E11-D11</f>
        <v>0</v>
      </c>
      <c r="F12" s="244">
        <f t="shared" si="1"/>
        <v>0</v>
      </c>
      <c r="G12" s="244">
        <f t="shared" si="1"/>
        <v>0</v>
      </c>
      <c r="H12" s="244">
        <f t="shared" si="1"/>
        <v>404387.14</v>
      </c>
      <c r="I12" s="244">
        <f t="shared" si="1"/>
        <v>0</v>
      </c>
      <c r="J12" s="244">
        <f t="shared" si="1"/>
        <v>0</v>
      </c>
      <c r="K12" s="244">
        <f t="shared" si="1"/>
        <v>0</v>
      </c>
      <c r="L12" s="244">
        <f t="shared" si="1"/>
        <v>0</v>
      </c>
      <c r="M12" s="244">
        <f t="shared" si="1"/>
        <v>0</v>
      </c>
      <c r="N12" s="245">
        <f t="shared" si="1"/>
        <v>0</v>
      </c>
    </row>
    <row r="13" spans="2:14" x14ac:dyDescent="0.2">
      <c r="B13" s="4"/>
      <c r="C13" s="12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/>
    </row>
    <row r="14" spans="2:14" x14ac:dyDescent="0.2">
      <c r="B14" s="53" t="s">
        <v>295</v>
      </c>
      <c r="C14" s="12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</row>
    <row r="15" spans="2:14" x14ac:dyDescent="0.2">
      <c r="B15" s="4" t="s">
        <v>15</v>
      </c>
      <c r="C15" s="12"/>
      <c r="D15" s="244">
        <f>(D$8&gt;=YEAR(PhaseIComplete))*'Assumptions-ResCondo'!$D9</f>
        <v>0</v>
      </c>
      <c r="E15" s="244">
        <f>(E$8&gt;=YEAR(PhaseIComplete))*'Assumptions-ResCondo'!$D9</f>
        <v>0</v>
      </c>
      <c r="F15" s="244">
        <f>(F$8&gt;=YEAR(PhaseIComplete))*'Assumptions-ResCondo'!$D9</f>
        <v>0</v>
      </c>
      <c r="G15" s="244">
        <f>(G$8&gt;=YEAR(PhaseIComplete))*'Assumptions-ResCondo'!$D9</f>
        <v>0</v>
      </c>
      <c r="H15" s="244">
        <f>(H$8&gt;=YEAR(PhaseIComplete))*'Assumptions-ResCondo'!$D9</f>
        <v>121</v>
      </c>
      <c r="I15" s="244">
        <f>(I$8&gt;=YEAR(PhaseIComplete))*'Assumptions-ResCondo'!$D9</f>
        <v>121</v>
      </c>
      <c r="J15" s="244">
        <f>(J$8&gt;=YEAR(PhaseIComplete))*'Assumptions-ResCondo'!$D9</f>
        <v>121</v>
      </c>
      <c r="K15" s="244">
        <f>(K$8&gt;=YEAR(PhaseIComplete))*'Assumptions-ResCondo'!$D9</f>
        <v>121</v>
      </c>
      <c r="L15" s="244">
        <f>(L$8&gt;=YEAR(PhaseIComplete))*'Assumptions-ResCondo'!$D9</f>
        <v>121</v>
      </c>
      <c r="M15" s="244">
        <f>(M$8&gt;=YEAR(PhaseIComplete))*'Assumptions-ResCondo'!$D9</f>
        <v>121</v>
      </c>
      <c r="N15" s="245">
        <f>(N$8&gt;=YEAR(PhaseIComplete))*'Assumptions-ResCondo'!$D9</f>
        <v>121</v>
      </c>
    </row>
    <row r="16" spans="2:14" x14ac:dyDescent="0.2">
      <c r="B16" s="4" t="s">
        <v>14</v>
      </c>
      <c r="C16" s="12"/>
      <c r="D16" s="244">
        <f>(D$8&gt;=YEAR(PhaseIComplete))*'Assumptions-ResCondo'!$D10</f>
        <v>0</v>
      </c>
      <c r="E16" s="244">
        <f>(E$8&gt;=YEAR(PhaseIComplete))*'Assumptions-ResCondo'!$D10</f>
        <v>0</v>
      </c>
      <c r="F16" s="244">
        <f>(F$8&gt;=YEAR(PhaseIComplete))*'Assumptions-ResCondo'!$D10</f>
        <v>0</v>
      </c>
      <c r="G16" s="244">
        <f>(G$8&gt;=YEAR(PhaseIComplete))*'Assumptions-ResCondo'!$D10</f>
        <v>0</v>
      </c>
      <c r="H16" s="244">
        <f>(H$8&gt;=YEAR(PhaseIComplete))*'Assumptions-ResCondo'!$D10</f>
        <v>153</v>
      </c>
      <c r="I16" s="244">
        <f>(I$8&gt;=YEAR(PhaseIComplete))*'Assumptions-ResCondo'!$D10</f>
        <v>153</v>
      </c>
      <c r="J16" s="244">
        <f>(J$8&gt;=YEAR(PhaseIComplete))*'Assumptions-ResCondo'!$D10</f>
        <v>153</v>
      </c>
      <c r="K16" s="244">
        <f>(K$8&gt;=YEAR(PhaseIComplete))*'Assumptions-ResCondo'!$D10</f>
        <v>153</v>
      </c>
      <c r="L16" s="244">
        <f>(L$8&gt;=YEAR(PhaseIComplete))*'Assumptions-ResCondo'!$D10</f>
        <v>153</v>
      </c>
      <c r="M16" s="244">
        <f>(M$8&gt;=YEAR(PhaseIComplete))*'Assumptions-ResCondo'!$D10</f>
        <v>153</v>
      </c>
      <c r="N16" s="245">
        <f>(N$8&gt;=YEAR(PhaseIComplete))*'Assumptions-ResCondo'!$D10</f>
        <v>153</v>
      </c>
    </row>
    <row r="17" spans="2:14" x14ac:dyDescent="0.2">
      <c r="B17" s="4" t="s">
        <v>13</v>
      </c>
      <c r="C17" s="12"/>
      <c r="D17" s="244">
        <f>(D$8&gt;=YEAR(PhaseIComplete))*'Assumptions-ResCondo'!$D11</f>
        <v>0</v>
      </c>
      <c r="E17" s="244">
        <f>(E$8&gt;=YEAR(PhaseIComplete))*'Assumptions-ResCondo'!$D11</f>
        <v>0</v>
      </c>
      <c r="F17" s="244">
        <f>(F$8&gt;=YEAR(PhaseIComplete))*'Assumptions-ResCondo'!$D11</f>
        <v>0</v>
      </c>
      <c r="G17" s="244">
        <f>(G$8&gt;=YEAR(PhaseIComplete))*'Assumptions-ResCondo'!$D11</f>
        <v>0</v>
      </c>
      <c r="H17" s="244">
        <f>(H$8&gt;=YEAR(PhaseIComplete))*'Assumptions-ResCondo'!$D11</f>
        <v>38</v>
      </c>
      <c r="I17" s="244">
        <f>(I$8&gt;=YEAR(PhaseIComplete))*'Assumptions-ResCondo'!$D11</f>
        <v>38</v>
      </c>
      <c r="J17" s="244">
        <f>(J$8&gt;=YEAR(PhaseIComplete))*'Assumptions-ResCondo'!$D11</f>
        <v>38</v>
      </c>
      <c r="K17" s="244">
        <f>(K$8&gt;=YEAR(PhaseIComplete))*'Assumptions-ResCondo'!$D11</f>
        <v>38</v>
      </c>
      <c r="L17" s="244">
        <f>(L$8&gt;=YEAR(PhaseIComplete))*'Assumptions-ResCondo'!$D11</f>
        <v>38</v>
      </c>
      <c r="M17" s="244">
        <f>(M$8&gt;=YEAR(PhaseIComplete))*'Assumptions-ResCondo'!$D11</f>
        <v>38</v>
      </c>
      <c r="N17" s="245">
        <f>(N$8&gt;=YEAR(PhaseIComplete))*'Assumptions-ResCondo'!$D11</f>
        <v>38</v>
      </c>
    </row>
    <row r="18" spans="2:14" x14ac:dyDescent="0.2">
      <c r="B18" s="4" t="s">
        <v>12</v>
      </c>
      <c r="C18" s="12"/>
      <c r="D18" s="244">
        <f>(D$8&gt;=YEAR(PhaseIComplete))*'Assumptions-ResCondo'!$D12</f>
        <v>0</v>
      </c>
      <c r="E18" s="244">
        <f>(E$8&gt;=YEAR(PhaseIComplete))*'Assumptions-ResCondo'!$D12</f>
        <v>0</v>
      </c>
      <c r="F18" s="244">
        <f>(F$8&gt;=YEAR(PhaseIComplete))*'Assumptions-ResCondo'!$D12</f>
        <v>0</v>
      </c>
      <c r="G18" s="244">
        <f>(G$8&gt;=YEAR(PhaseIComplete))*'Assumptions-ResCondo'!$D12</f>
        <v>0</v>
      </c>
      <c r="H18" s="244">
        <f>(H$8&gt;=YEAR(PhaseIComplete))*'Assumptions-ResCondo'!$D12</f>
        <v>29</v>
      </c>
      <c r="I18" s="244">
        <f>(I$8&gt;=YEAR(PhaseIComplete))*'Assumptions-ResCondo'!$D12</f>
        <v>29</v>
      </c>
      <c r="J18" s="244">
        <f>(J$8&gt;=YEAR(PhaseIComplete))*'Assumptions-ResCondo'!$D12</f>
        <v>29</v>
      </c>
      <c r="K18" s="244">
        <f>(K$8&gt;=YEAR(PhaseIComplete))*'Assumptions-ResCondo'!$D12</f>
        <v>29</v>
      </c>
      <c r="L18" s="244">
        <f>(L$8&gt;=YEAR(PhaseIComplete))*'Assumptions-ResCondo'!$D12</f>
        <v>29</v>
      </c>
      <c r="M18" s="244">
        <f>(M$8&gt;=YEAR(PhaseIComplete))*'Assumptions-ResCondo'!$D12</f>
        <v>29</v>
      </c>
      <c r="N18" s="245">
        <f>(N$8&gt;=YEAR(PhaseIComplete))*'Assumptions-ResCondo'!$D12</f>
        <v>29</v>
      </c>
    </row>
    <row r="19" spans="2:14" x14ac:dyDescent="0.2">
      <c r="B19" s="4"/>
      <c r="C19" s="12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5"/>
    </row>
    <row r="20" spans="2:14" x14ac:dyDescent="0.2">
      <c r="B20" s="53" t="s">
        <v>296</v>
      </c>
      <c r="C20" s="12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</row>
    <row r="21" spans="2:14" x14ac:dyDescent="0.2">
      <c r="B21" s="4" t="s">
        <v>15</v>
      </c>
      <c r="C21" s="12"/>
      <c r="D21" s="244">
        <f>(D$8&gt;=YEAR(PhaseIComplete))*'Assumptions-ResCondo'!$D17</f>
        <v>0</v>
      </c>
      <c r="E21" s="244">
        <f>(E$8&gt;=YEAR(PhaseIComplete))*'Assumptions-ResCondo'!$D17</f>
        <v>0</v>
      </c>
      <c r="F21" s="244">
        <f>(F$8&gt;=YEAR(PhaseIComplete))*'Assumptions-ResCondo'!$D17</f>
        <v>0</v>
      </c>
      <c r="G21" s="244">
        <f>(G$8&gt;=YEAR(PhaseIComplete))*'Assumptions-ResCondo'!$D17</f>
        <v>0</v>
      </c>
      <c r="H21" s="244">
        <f>(H$8&gt;=YEAR(PhaseIComplete))*'Assumptions-ResCondo'!$D17</f>
        <v>8</v>
      </c>
      <c r="I21" s="244">
        <f>(I$8&gt;=YEAR(PhaseIComplete))*'Assumptions-ResCondo'!$D17</f>
        <v>8</v>
      </c>
      <c r="J21" s="244">
        <f>(J$8&gt;=YEAR(PhaseIComplete))*'Assumptions-ResCondo'!$D17</f>
        <v>8</v>
      </c>
      <c r="K21" s="244">
        <f>(K$8&gt;=YEAR(PhaseIComplete))*'Assumptions-ResCondo'!$D17</f>
        <v>8</v>
      </c>
      <c r="L21" s="244">
        <f>(L$8&gt;=YEAR(PhaseIComplete))*'Assumptions-ResCondo'!$D17</f>
        <v>8</v>
      </c>
      <c r="M21" s="244">
        <f>(M$8&gt;=YEAR(PhaseIComplete))*'Assumptions-ResCondo'!$D17</f>
        <v>8</v>
      </c>
      <c r="N21" s="245">
        <f>(N$8&gt;=YEAR(PhaseIComplete))*'Assumptions-ResCondo'!$D17</f>
        <v>8</v>
      </c>
    </row>
    <row r="22" spans="2:14" x14ac:dyDescent="0.2">
      <c r="B22" s="4" t="s">
        <v>14</v>
      </c>
      <c r="C22" s="12"/>
      <c r="D22" s="244">
        <f>(D$8&gt;=YEAR(PhaseIComplete))*'Assumptions-ResCondo'!$D18</f>
        <v>0</v>
      </c>
      <c r="E22" s="244">
        <f>(E$8&gt;=YEAR(PhaseIComplete))*'Assumptions-ResCondo'!$D18</f>
        <v>0</v>
      </c>
      <c r="F22" s="244">
        <f>(F$8&gt;=YEAR(PhaseIComplete))*'Assumptions-ResCondo'!$D18</f>
        <v>0</v>
      </c>
      <c r="G22" s="244">
        <f>(G$8&gt;=YEAR(PhaseIComplete))*'Assumptions-ResCondo'!$D18</f>
        <v>0</v>
      </c>
      <c r="H22" s="244">
        <f>(H$8&gt;=YEAR(PhaseIComplete))*'Assumptions-ResCondo'!$D18</f>
        <v>12</v>
      </c>
      <c r="I22" s="244">
        <f>(I$8&gt;=YEAR(PhaseIComplete))*'Assumptions-ResCondo'!$D18</f>
        <v>12</v>
      </c>
      <c r="J22" s="244">
        <f>(J$8&gt;=YEAR(PhaseIComplete))*'Assumptions-ResCondo'!$D18</f>
        <v>12</v>
      </c>
      <c r="K22" s="244">
        <f>(K$8&gt;=YEAR(PhaseIComplete))*'Assumptions-ResCondo'!$D18</f>
        <v>12</v>
      </c>
      <c r="L22" s="244">
        <f>(L$8&gt;=YEAR(PhaseIComplete))*'Assumptions-ResCondo'!$D18</f>
        <v>12</v>
      </c>
      <c r="M22" s="244">
        <f>(M$8&gt;=YEAR(PhaseIComplete))*'Assumptions-ResCondo'!$D18</f>
        <v>12</v>
      </c>
      <c r="N22" s="245">
        <f>(N$8&gt;=YEAR(PhaseIComplete))*'Assumptions-ResCondo'!$D18</f>
        <v>12</v>
      </c>
    </row>
    <row r="23" spans="2:14" x14ac:dyDescent="0.2">
      <c r="B23" s="4" t="s">
        <v>13</v>
      </c>
      <c r="C23" s="12"/>
      <c r="D23" s="244">
        <f>(D$8&gt;=YEAR(PhaseIComplete))*'Assumptions-ResCondo'!$D19</f>
        <v>0</v>
      </c>
      <c r="E23" s="244">
        <f>(E$8&gt;=YEAR(PhaseIComplete))*'Assumptions-ResCondo'!$D19</f>
        <v>0</v>
      </c>
      <c r="F23" s="244">
        <f>(F$8&gt;=YEAR(PhaseIComplete))*'Assumptions-ResCondo'!$D19</f>
        <v>0</v>
      </c>
      <c r="G23" s="244">
        <f>(G$8&gt;=YEAR(PhaseIComplete))*'Assumptions-ResCondo'!$D19</f>
        <v>0</v>
      </c>
      <c r="H23" s="244">
        <f>(H$8&gt;=YEAR(PhaseIComplete))*'Assumptions-ResCondo'!$D19</f>
        <v>16</v>
      </c>
      <c r="I23" s="244">
        <f>(I$8&gt;=YEAR(PhaseIComplete))*'Assumptions-ResCondo'!$D19</f>
        <v>16</v>
      </c>
      <c r="J23" s="244">
        <f>(J$8&gt;=YEAR(PhaseIComplete))*'Assumptions-ResCondo'!$D19</f>
        <v>16</v>
      </c>
      <c r="K23" s="244">
        <f>(K$8&gt;=YEAR(PhaseIComplete))*'Assumptions-ResCondo'!$D19</f>
        <v>16</v>
      </c>
      <c r="L23" s="244">
        <f>(L$8&gt;=YEAR(PhaseIComplete))*'Assumptions-ResCondo'!$D19</f>
        <v>16</v>
      </c>
      <c r="M23" s="244">
        <f>(M$8&gt;=YEAR(PhaseIComplete))*'Assumptions-ResCondo'!$D19</f>
        <v>16</v>
      </c>
      <c r="N23" s="245">
        <f>(N$8&gt;=YEAR(PhaseIComplete))*'Assumptions-ResCondo'!$D19</f>
        <v>16</v>
      </c>
    </row>
    <row r="24" spans="2:14" x14ac:dyDescent="0.2">
      <c r="B24" s="4" t="s">
        <v>12</v>
      </c>
      <c r="C24" s="12"/>
      <c r="D24" s="244">
        <f>(D$8&gt;=YEAR(PhaseIComplete))*'Assumptions-ResCondo'!$D20</f>
        <v>0</v>
      </c>
      <c r="E24" s="244">
        <f>(E$8&gt;=YEAR(PhaseIComplete))*'Assumptions-ResCondo'!$D20</f>
        <v>0</v>
      </c>
      <c r="F24" s="244">
        <f>(F$8&gt;=YEAR(PhaseIComplete))*'Assumptions-ResCondo'!$D20</f>
        <v>0</v>
      </c>
      <c r="G24" s="244">
        <f>(G$8&gt;=YEAR(PhaseIComplete))*'Assumptions-ResCondo'!$D20</f>
        <v>0</v>
      </c>
      <c r="H24" s="244">
        <f>(H$8&gt;=YEAR(PhaseIComplete))*'Assumptions-ResCondo'!$D20</f>
        <v>4</v>
      </c>
      <c r="I24" s="244">
        <f>(I$8&gt;=YEAR(PhaseIComplete))*'Assumptions-ResCondo'!$D20</f>
        <v>4</v>
      </c>
      <c r="J24" s="244">
        <f>(J$8&gt;=YEAR(PhaseIComplete))*'Assumptions-ResCondo'!$D20</f>
        <v>4</v>
      </c>
      <c r="K24" s="244">
        <f>(K$8&gt;=YEAR(PhaseIComplete))*'Assumptions-ResCondo'!$D20</f>
        <v>4</v>
      </c>
      <c r="L24" s="244">
        <f>(L$8&gt;=YEAR(PhaseIComplete))*'Assumptions-ResCondo'!$D20</f>
        <v>4</v>
      </c>
      <c r="M24" s="244">
        <f>(M$8&gt;=YEAR(PhaseIComplete))*'Assumptions-ResCondo'!$D20</f>
        <v>4</v>
      </c>
      <c r="N24" s="245">
        <f>(N$8&gt;=YEAR(PhaseIComplete))*'Assumptions-ResCondo'!$D20</f>
        <v>4</v>
      </c>
    </row>
    <row r="25" spans="2:14" x14ac:dyDescent="0.2"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2:14" x14ac:dyDescent="0.2">
      <c r="B26" s="53" t="s">
        <v>209</v>
      </c>
      <c r="C26" s="1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7"/>
    </row>
    <row r="27" spans="2:14" x14ac:dyDescent="0.2">
      <c r="B27" s="4" t="s">
        <v>311</v>
      </c>
      <c r="C27" s="12"/>
      <c r="D27" s="242">
        <f>-(AND(D$8&gt;=YEAR(PhaseIConBegin),D$8&lt;=YEAR(PhaseIConEnd)))*SUM($D12:$N12)*('Assumptions-Overall'!$M$11+'Assumptions-Overall'!$M$12)*(1+'Assumptions-Overall'!$C$41)^('CashFlow-ResCondo'!D$7-1)/(YEAR(PhaseIConEnd)-YEAR(PhaseIConBegin)+1)</f>
        <v>0</v>
      </c>
      <c r="E27" s="242">
        <f>-(AND(E$8&gt;=YEAR(PhaseIConBegin),E$8&lt;=YEAR(PhaseIConEnd)))*SUM($D12:$N12)*('Assumptions-Overall'!$M$11+'Assumptions-Overall'!$M$12)*(1+'Assumptions-Overall'!$C$41)^('CashFlow-ResCondo'!E$7-1)/(YEAR(PhaseIConEnd)-YEAR(PhaseIConBegin)+1)</f>
        <v>0</v>
      </c>
      <c r="F27" s="242">
        <f>-(AND(F$8&gt;=YEAR(PhaseIConBegin),F$8&lt;=YEAR(PhaseIConEnd)))*SUM($D12:$N12)*('Assumptions-Overall'!$M$11+'Assumptions-Overall'!$M$12)*(1+'Assumptions-Overall'!$C$41)^('CashFlow-ResCondo'!F$7-1)/(YEAR(PhaseIConEnd)-YEAR(PhaseIConBegin)+1)</f>
        <v>-79367648.612810001</v>
      </c>
      <c r="G27" s="242">
        <f>-(AND(G$8&gt;=YEAR(PhaseIConBegin),G$8&lt;=YEAR(PhaseIConEnd)))*SUM($D12:$N12)*('Assumptions-Overall'!$M$11+'Assumptions-Overall'!$M$12)*(1+'Assumptions-Overall'!$C$41)^('CashFlow-ResCondo'!G$7-1)/(YEAR(PhaseIConEnd)-YEAR(PhaseIConBegin)+1)</f>
        <v>-81748678.071194306</v>
      </c>
      <c r="H27" s="242">
        <f>-(AND(H$8&gt;=YEAR(PhaseIConBegin),H$8&lt;=YEAR(PhaseIConEnd)))*SUM($D12:$N12)*('Assumptions-Overall'!$M$11+'Assumptions-Overall'!$M$12)*(1+'Assumptions-Overall'!$C$41)^('CashFlow-ResCondo'!H$7-1)/(YEAR(PhaseIConEnd)-YEAR(PhaseIConBegin)+1)</f>
        <v>0</v>
      </c>
      <c r="I27" s="242">
        <f>-(AND(I$8&gt;=YEAR(PhaseIConBegin),I$8&lt;=YEAR(PhaseIConEnd)))*SUM($D12:$N12)*('Assumptions-Overall'!$M$11+'Assumptions-Overall'!$M$12)*(1+'Assumptions-Overall'!$C$41)^('CashFlow-ResCondo'!I$7-1)/(YEAR(PhaseIConEnd)-YEAR(PhaseIConBegin)+1)</f>
        <v>0</v>
      </c>
      <c r="J27" s="242">
        <f>-(AND(J$8&gt;=YEAR(PhaseIConBegin),J$8&lt;=YEAR(PhaseIConEnd)))*SUM($D12:$N12)*('Assumptions-Overall'!$M$11+'Assumptions-Overall'!$M$12)*(1+'Assumptions-Overall'!$C$41)^('CashFlow-ResCondo'!J$7-1)/(YEAR(PhaseIConEnd)-YEAR(PhaseIConBegin)+1)</f>
        <v>0</v>
      </c>
      <c r="K27" s="242">
        <f>-(AND(K$8&gt;=YEAR(PhaseIConBegin),K$8&lt;=YEAR(PhaseIConEnd)))*SUM($D12:$N12)*('Assumptions-Overall'!$M$11+'Assumptions-Overall'!$M$12)*(1+'Assumptions-Overall'!$C$41)^('CashFlow-ResCondo'!K$7-1)/(YEAR(PhaseIConEnd)-YEAR(PhaseIConBegin)+1)</f>
        <v>0</v>
      </c>
      <c r="L27" s="242">
        <f>-(AND(L$8&gt;=YEAR(PhaseIConBegin),L$8&lt;=YEAR(PhaseIConEnd)))*SUM($D12:$N12)*('Assumptions-Overall'!$M$11+'Assumptions-Overall'!$M$12)*(1+'Assumptions-Overall'!$C$41)^('CashFlow-ResCondo'!L$7-1)/(YEAR(PhaseIConEnd)-YEAR(PhaseIConBegin)+1)</f>
        <v>0</v>
      </c>
      <c r="M27" s="242">
        <f>-(AND(M$8&gt;=YEAR(PhaseIConBegin),M$8&lt;=YEAR(PhaseIConEnd)))*SUM($D12:$N12)*('Assumptions-Overall'!$M$11+'Assumptions-Overall'!$M$12)*(1+'Assumptions-Overall'!$C$41)^('CashFlow-ResCondo'!M$7-1)/(YEAR(PhaseIConEnd)-YEAR(PhaseIConBegin)+1)</f>
        <v>0</v>
      </c>
      <c r="N27" s="247"/>
    </row>
    <row r="28" spans="2:14" x14ac:dyDescent="0.2">
      <c r="B28" s="4" t="s">
        <v>312</v>
      </c>
      <c r="C28" s="12"/>
      <c r="D28" s="242">
        <f>(AND(D$8&gt;=YEAR(PhaseIPreconBegin),D$8&lt;=YEAR(PhaseIConEnd)))*SUM($D27:$N27)*'Assumptions-Overall'!$H$43/(YEAR(PhaseIConEnd)-YEAR(PhaseIPreconBegin)+1)</f>
        <v>-2416744.9002600643</v>
      </c>
      <c r="E28" s="242">
        <f>(AND(E$8&gt;=YEAR(PhaseIPreconBegin),E$8&lt;=YEAR(PhaseIConEnd)))*SUM($D27:$N27)*'Assumptions-Overall'!$H$43/(YEAR(PhaseIConEnd)-YEAR(PhaseIPreconBegin)+1)</f>
        <v>-2416744.9002600643</v>
      </c>
      <c r="F28" s="242">
        <f>(AND(F$8&gt;=YEAR(PhaseIPreconBegin),F$8&lt;=YEAR(PhaseIConEnd)))*SUM($D27:$N27)*'Assumptions-Overall'!$H$43/(YEAR(PhaseIConEnd)-YEAR(PhaseIPreconBegin)+1)</f>
        <v>-2416744.9002600643</v>
      </c>
      <c r="G28" s="242">
        <f>(AND(G$8&gt;=YEAR(PhaseIPreconBegin),G$8&lt;=YEAR(PhaseIConEnd)))*SUM($D27:$N27)*'Assumptions-Overall'!$H$43/(YEAR(PhaseIConEnd)-YEAR(PhaseIPreconBegin)+1)</f>
        <v>-2416744.9002600643</v>
      </c>
      <c r="H28" s="242">
        <f>(AND(H$8&gt;=YEAR(PhaseIPreconBegin),H$8&lt;=YEAR(PhaseIConEnd)))*SUM($D27:$N27)*'Assumptions-Overall'!$H$43/(YEAR(PhaseIConEnd)-YEAR(PhaseIPreconBegin)+1)</f>
        <v>0</v>
      </c>
      <c r="I28" s="242">
        <f>(AND(I$8&gt;=YEAR(PhaseIPreconBegin),I$8&lt;=YEAR(PhaseIConEnd)))*SUM($D27:$N27)*'Assumptions-Overall'!$H$43/(YEAR(PhaseIConEnd)-YEAR(PhaseIPreconBegin)+1)</f>
        <v>0</v>
      </c>
      <c r="J28" s="242">
        <f>(AND(J$8&gt;=YEAR(PhaseIPreconBegin),J$8&lt;=YEAR(PhaseIConEnd)))*SUM($D27:$N27)*'Assumptions-Overall'!$H$43/(YEAR(PhaseIConEnd)-YEAR(PhaseIPreconBegin)+1)</f>
        <v>0</v>
      </c>
      <c r="K28" s="242">
        <f>(AND(K$8&gt;=YEAR(PhaseIPreconBegin),K$8&lt;=YEAR(PhaseIConEnd)))*SUM($D27:$N27)*'Assumptions-Overall'!$H$43/(YEAR(PhaseIConEnd)-YEAR(PhaseIPreconBegin)+1)</f>
        <v>0</v>
      </c>
      <c r="L28" s="242">
        <f>(AND(L$8&gt;=YEAR(PhaseIPreconBegin),L$8&lt;=YEAR(PhaseIConEnd)))*SUM($D27:$N27)*'Assumptions-Overall'!$H$43/(YEAR(PhaseIConEnd)-YEAR(PhaseIPreconBegin)+1)</f>
        <v>0</v>
      </c>
      <c r="M28" s="242">
        <f>(AND(M$8&gt;=YEAR(PhaseIPreconBegin),M$8&lt;=YEAR(PhaseIConEnd)))*SUM($D27:$N27)*'Assumptions-Overall'!$H$43/(YEAR(PhaseIConEnd)-YEAR(PhaseIPreconBegin)+1)</f>
        <v>0</v>
      </c>
      <c r="N28" s="247"/>
    </row>
    <row r="29" spans="2:14" x14ac:dyDescent="0.2">
      <c r="B29" s="4" t="s">
        <v>183</v>
      </c>
      <c r="C29" s="12"/>
      <c r="D29" s="242">
        <f>(AND(D$8&gt;=YEAR(PhaseIPreconBegin),D$8&lt;=YEAR(PhaseIConEnd)))*SUM($D27:$N27)*'Assumptions-Overall'!$H$44/(YEAR(PhaseIConEnd)-YEAR(PhaseIPreconBegin)+1)</f>
        <v>-6041862.2506501609</v>
      </c>
      <c r="E29" s="242">
        <f>(AND(E$8&gt;=YEAR(PhaseIPreconBegin),E$8&lt;=YEAR(PhaseIConEnd)))*SUM($D27:$N27)*'Assumptions-Overall'!$H$44/(YEAR(PhaseIConEnd)-YEAR(PhaseIPreconBegin)+1)</f>
        <v>-6041862.2506501609</v>
      </c>
      <c r="F29" s="242">
        <f>(AND(F$8&gt;=YEAR(PhaseIPreconBegin),F$8&lt;=YEAR(PhaseIConEnd)))*SUM($D27:$N27)*'Assumptions-Overall'!$H$44/(YEAR(PhaseIConEnd)-YEAR(PhaseIPreconBegin)+1)</f>
        <v>-6041862.2506501609</v>
      </c>
      <c r="G29" s="242">
        <f>(AND(G$8&gt;=YEAR(PhaseIPreconBegin),G$8&lt;=YEAR(PhaseIConEnd)))*SUM($D27:$N27)*'Assumptions-Overall'!$H$44/(YEAR(PhaseIConEnd)-YEAR(PhaseIPreconBegin)+1)</f>
        <v>-6041862.2506501609</v>
      </c>
      <c r="H29" s="242">
        <f>(AND(H$8&gt;=YEAR(PhaseIPreconBegin),H$8&lt;=YEAR(PhaseIConEnd)))*SUM($D27:$N27)*'Assumptions-Overall'!$H$44/(YEAR(PhaseIConEnd)-YEAR(PhaseIPreconBegin)+1)</f>
        <v>0</v>
      </c>
      <c r="I29" s="242">
        <f>(AND(I$8&gt;=YEAR(PhaseIPreconBegin),I$8&lt;=YEAR(PhaseIConEnd)))*SUM($D27:$N27)*'Assumptions-Overall'!$H$44/(YEAR(PhaseIConEnd)-YEAR(PhaseIPreconBegin)+1)</f>
        <v>0</v>
      </c>
      <c r="J29" s="242">
        <f>(AND(J$8&gt;=YEAR(PhaseIPreconBegin),J$8&lt;=YEAR(PhaseIConEnd)))*SUM($D27:$N27)*'Assumptions-Overall'!$H$44/(YEAR(PhaseIConEnd)-YEAR(PhaseIPreconBegin)+1)</f>
        <v>0</v>
      </c>
      <c r="K29" s="242">
        <f>(AND(K$8&gt;=YEAR(PhaseIPreconBegin),K$8&lt;=YEAR(PhaseIConEnd)))*SUM($D27:$N27)*'Assumptions-Overall'!$H$44/(YEAR(PhaseIConEnd)-YEAR(PhaseIPreconBegin)+1)</f>
        <v>0</v>
      </c>
      <c r="L29" s="242">
        <f>(AND(L$8&gt;=YEAR(PhaseIPreconBegin),L$8&lt;=YEAR(PhaseIConEnd)))*SUM($D27:$N27)*'Assumptions-Overall'!$H$44/(YEAR(PhaseIConEnd)-YEAR(PhaseIPreconBegin)+1)</f>
        <v>0</v>
      </c>
      <c r="M29" s="242">
        <f>(AND(M$8&gt;=YEAR(PhaseIPreconBegin),M$8&lt;=YEAR(PhaseIConEnd)))*SUM($D27:$N27)*'Assumptions-Overall'!$H$44/(YEAR(PhaseIConEnd)-YEAR(PhaseIPreconBegin)+1)</f>
        <v>0</v>
      </c>
      <c r="N29" s="247"/>
    </row>
    <row r="30" spans="2:14" x14ac:dyDescent="0.2">
      <c r="B30" s="4" t="s">
        <v>184</v>
      </c>
      <c r="C30" s="12"/>
      <c r="D30" s="240">
        <f>SUM(D27:D29)*'Assumptions-Overall'!$H$45</f>
        <v>-253758.21452730673</v>
      </c>
      <c r="E30" s="240">
        <f>SUM(E27:E29)*'Assumptions-Overall'!$H$45</f>
        <v>-253758.21452730673</v>
      </c>
      <c r="F30" s="240">
        <f>SUM(F27:F29)*'Assumptions-Overall'!$H$45</f>
        <v>-2634787.6729116067</v>
      </c>
      <c r="G30" s="240">
        <f>SUM(G27:G29)*'Assumptions-Overall'!$H$45</f>
        <v>-2706218.556663136</v>
      </c>
      <c r="H30" s="240">
        <f>SUM(H27:H29)*'Assumptions-Overall'!$H$45</f>
        <v>0</v>
      </c>
      <c r="I30" s="240">
        <f>SUM(I27:I29)*'Assumptions-Overall'!$H$45</f>
        <v>0</v>
      </c>
      <c r="J30" s="240">
        <f>SUM(J27:J29)*'Assumptions-Overall'!$H$45</f>
        <v>0</v>
      </c>
      <c r="K30" s="240">
        <f>SUM(K27:K29)*'Assumptions-Overall'!$H$45</f>
        <v>0</v>
      </c>
      <c r="L30" s="240">
        <f>SUM(L27:L29)*'Assumptions-Overall'!$H$45</f>
        <v>0</v>
      </c>
      <c r="M30" s="240">
        <f>SUM(M27:M29)*'Assumptions-Overall'!$H$45</f>
        <v>0</v>
      </c>
      <c r="N30" s="247"/>
    </row>
    <row r="31" spans="2:14" x14ac:dyDescent="0.2">
      <c r="B31" s="4" t="s">
        <v>313</v>
      </c>
      <c r="C31" s="12"/>
      <c r="D31" s="242">
        <f>SUM(D27:D30)</f>
        <v>-8712365.3654375318</v>
      </c>
      <c r="E31" s="242">
        <f t="shared" ref="E31:M31" si="2">SUM(E27:E30)</f>
        <v>-8712365.3654375318</v>
      </c>
      <c r="F31" s="242">
        <f t="shared" si="2"/>
        <v>-90461043.436631829</v>
      </c>
      <c r="G31" s="242">
        <f t="shared" si="2"/>
        <v>-92913503.778767675</v>
      </c>
      <c r="H31" s="242">
        <f t="shared" si="2"/>
        <v>0</v>
      </c>
      <c r="I31" s="242">
        <f t="shared" si="2"/>
        <v>0</v>
      </c>
      <c r="J31" s="242">
        <f t="shared" si="2"/>
        <v>0</v>
      </c>
      <c r="K31" s="242">
        <f t="shared" si="2"/>
        <v>0</v>
      </c>
      <c r="L31" s="242">
        <f t="shared" si="2"/>
        <v>0</v>
      </c>
      <c r="M31" s="242">
        <f t="shared" si="2"/>
        <v>0</v>
      </c>
      <c r="N31" s="247"/>
    </row>
    <row r="32" spans="2:14" x14ac:dyDescent="0.2">
      <c r="B32" s="4"/>
      <c r="C32" s="1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7"/>
    </row>
    <row r="33" spans="2:14" x14ac:dyDescent="0.2">
      <c r="B33" s="53" t="s">
        <v>258</v>
      </c>
      <c r="C33" s="1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7"/>
    </row>
    <row r="34" spans="2:14" x14ac:dyDescent="0.2">
      <c r="B34" s="4" t="s">
        <v>324</v>
      </c>
      <c r="C34" s="12"/>
      <c r="D34" s="211">
        <f>(AND(D$8&gt;=YEAR(PhaseIPreconBegin),D$8&lt;YEAR(PhaseIConBegin)))*'Assumptions-ResCondo'!$I$15/(YEAR(PhaseIConBegin)-YEAR(PhaseIPreconBegin))+(AND(D$8&gt;=YEAR(PhaseIConBegin),D$8&lt;=YEAR(PhaseIConEnd)))*'Assumptions-ResCondo'!$I$16/(YEAR(PhaseIConEnd)-YEAR(PhaseIConBegin)+1)</f>
        <v>0.375</v>
      </c>
      <c r="E34" s="211">
        <f>(AND(E$8&gt;=YEAR(PhaseIPreconBegin),E$8&lt;YEAR(PhaseIConBegin)))*'Assumptions-ResCondo'!$I$15/(YEAR(PhaseIConBegin)-YEAR(PhaseIPreconBegin))+(AND(E$8&gt;=YEAR(PhaseIConBegin),E$8&lt;=YEAR(PhaseIConEnd)))*'Assumptions-ResCondo'!$I$16/(YEAR(PhaseIConEnd)-YEAR(PhaseIConBegin)+1)</f>
        <v>0.375</v>
      </c>
      <c r="F34" s="211">
        <f>(AND(F$8&gt;=YEAR(PhaseIPreconBegin),F$8&lt;YEAR(PhaseIConBegin)))*'Assumptions-ResCondo'!$I$15/(YEAR(PhaseIConBegin)-YEAR(PhaseIPreconBegin))+(AND(F$8&gt;=YEAR(PhaseIConBegin),F$8&lt;=YEAR(PhaseIConEnd)))*'Assumptions-ResCondo'!$I$16/(YEAR(PhaseIConEnd)-YEAR(PhaseIConBegin)+1)</f>
        <v>0.125</v>
      </c>
      <c r="G34" s="211">
        <f>(AND(G$8&gt;=YEAR(PhaseIPreconBegin),G$8&lt;YEAR(PhaseIConBegin)))*'Assumptions-ResCondo'!$I$15/(YEAR(PhaseIConBegin)-YEAR(PhaseIPreconBegin))+(AND(G$8&gt;=YEAR(PhaseIConBegin),G$8&lt;=YEAR(PhaseIConEnd)))*'Assumptions-ResCondo'!$I$16/(YEAR(PhaseIConEnd)-YEAR(PhaseIConBegin)+1)</f>
        <v>0.125</v>
      </c>
      <c r="H34" s="211">
        <f>(AND(H$8&gt;=YEAR(PhaseIPreconBegin),H$8&lt;YEAR(PhaseIConBegin)))*'Assumptions-ResCondo'!$I$15/(YEAR(PhaseIConBegin)-YEAR(PhaseIPreconBegin))+(AND(H$8&gt;=YEAR(PhaseIConBegin),H$8&lt;=YEAR(PhaseIConEnd)))*'Assumptions-ResCondo'!$I$16/(YEAR(PhaseIConEnd)-YEAR(PhaseIConBegin)+1)</f>
        <v>0</v>
      </c>
      <c r="I34" s="211">
        <f>(AND(I$8&gt;=YEAR(PhaseIPreconBegin),I$8&lt;YEAR(PhaseIConBegin)))*'Assumptions-ResCondo'!$I$15/(YEAR(PhaseIConBegin)-YEAR(PhaseIPreconBegin))+(AND(I$8&gt;=YEAR(PhaseIConBegin),I$8&lt;=YEAR(PhaseIConEnd)))*'Assumptions-ResCondo'!$I$16/(YEAR(PhaseIConEnd)-YEAR(PhaseIConBegin)+1)</f>
        <v>0</v>
      </c>
      <c r="J34" s="211">
        <f>(AND(J$8&gt;=YEAR(PhaseIPreconBegin),J$8&lt;YEAR(PhaseIConBegin)))*'Assumptions-ResCondo'!$I$15/(YEAR(PhaseIConBegin)-YEAR(PhaseIPreconBegin))+(AND(J$8&gt;=YEAR(PhaseIConBegin),J$8&lt;=YEAR(PhaseIConEnd)))*'Assumptions-ResCondo'!$I$16/(YEAR(PhaseIConEnd)-YEAR(PhaseIConBegin)+1)</f>
        <v>0</v>
      </c>
      <c r="K34" s="211">
        <f>(AND(K$8&gt;=YEAR(PhaseIPreconBegin),K$8&lt;YEAR(PhaseIConBegin)))*'Assumptions-ResCondo'!$I$15/(YEAR(PhaseIConBegin)-YEAR(PhaseIPreconBegin))+(AND(K$8&gt;=YEAR(PhaseIConBegin),K$8&lt;=YEAR(PhaseIConEnd)))*'Assumptions-ResCondo'!$I$16/(YEAR(PhaseIConEnd)-YEAR(PhaseIConBegin)+1)</f>
        <v>0</v>
      </c>
      <c r="L34" s="211">
        <f>(AND(L$8&gt;=YEAR(PhaseIPreconBegin),L$8&lt;YEAR(PhaseIConBegin)))*'Assumptions-ResCondo'!$I$15/(YEAR(PhaseIConBegin)-YEAR(PhaseIPreconBegin))+(AND(L$8&gt;=YEAR(PhaseIConBegin),L$8&lt;=YEAR(PhaseIConEnd)))*'Assumptions-ResCondo'!$I$16/(YEAR(PhaseIConEnd)-YEAR(PhaseIConBegin)+1)</f>
        <v>0</v>
      </c>
      <c r="M34" s="211">
        <f>(AND(M$8&gt;=YEAR(PhaseIPreconBegin),M$8&lt;YEAR(PhaseIConBegin)))*'Assumptions-ResCondo'!$I$15/(YEAR(PhaseIConBegin)-YEAR(PhaseIPreconBegin))+(AND(M$8&gt;=YEAR(PhaseIConBegin),M$8&lt;=YEAR(PhaseIConEnd)))*'Assumptions-ResCondo'!$I$16/(YEAR(PhaseIConEnd)-YEAR(PhaseIConBegin)+1)</f>
        <v>0</v>
      </c>
      <c r="N34" s="247"/>
    </row>
    <row r="35" spans="2:14" x14ac:dyDescent="0.2">
      <c r="B35" s="4" t="s">
        <v>325</v>
      </c>
      <c r="C35" s="12"/>
      <c r="D35" s="242">
        <f>D34*'Assumptions-ResCondo'!$I$18*(SUMPRODUCT('Assumptions-ResCondo'!$K$8:$K$11,'CashFlow-ResCondo'!$N15:$N18)+SUMPRODUCT('CashFlow-ResCondo'!$N21:$N24,'Assumptions-ResCondo'!$P$8:$P$11))*((1+'Assumptions-Overall'!$C$34)^('CashFlow-ResCondo'!D$7-1))</f>
        <v>19218173.678372189</v>
      </c>
      <c r="E35" s="242">
        <f>E34*'Assumptions-ResCondo'!$I$18*(SUMPRODUCT('Assumptions-ResCondo'!$K$8:$K$11,'CashFlow-ResCondo'!$N15:$N18)+SUMPRODUCT('CashFlow-ResCondo'!$N21:$N24,'Assumptions-ResCondo'!$P$8:$P$11))*((1+'Assumptions-Overall'!$C$34)^('CashFlow-ResCondo'!E$7-1))</f>
        <v>19794718.888723355</v>
      </c>
      <c r="F35" s="242">
        <f>F34*'Assumptions-ResCondo'!$I$18*(SUMPRODUCT('Assumptions-ResCondo'!$K$8:$K$11,'CashFlow-ResCondo'!$N15:$N18)+SUMPRODUCT('CashFlow-ResCondo'!$N21:$N24,'Assumptions-ResCondo'!$P$8:$P$11))*((1+'Assumptions-Overall'!$C$34)^('CashFlow-ResCondo'!F$7-1))</f>
        <v>6796186.8184616845</v>
      </c>
      <c r="G35" s="242">
        <f>G34*'Assumptions-ResCondo'!$I$18*(SUMPRODUCT('Assumptions-ResCondo'!$K$8:$K$11,'CashFlow-ResCondo'!$N15:$N18)+SUMPRODUCT('CashFlow-ResCondo'!$N21:$N24,'Assumptions-ResCondo'!$P$8:$P$11))*((1+'Assumptions-Overall'!$C$34)^('CashFlow-ResCondo'!G$7-1))</f>
        <v>7000072.4230155349</v>
      </c>
      <c r="H35" s="242">
        <f>H34*'Assumptions-ResCondo'!$I$18*(SUMPRODUCT('Assumptions-ResCondo'!$K$8:$K$11,'CashFlow-ResCondo'!$N15:$N18)+SUMPRODUCT('CashFlow-ResCondo'!$N21:$N24,'Assumptions-ResCondo'!$P$8:$P$11))*((1+'Assumptions-Overall'!$C$34)^('CashFlow-ResCondo'!H$7-1))</f>
        <v>0</v>
      </c>
      <c r="I35" s="242">
        <f>I34*'Assumptions-ResCondo'!$I$18*(SUMPRODUCT('Assumptions-ResCondo'!$K$8:$K$11,'CashFlow-ResCondo'!$N15:$N18)+SUMPRODUCT('CashFlow-ResCondo'!$N21:$N24,'Assumptions-ResCondo'!$P$8:$P$11))*((1+'Assumptions-Overall'!$C$34)^('CashFlow-ResCondo'!I$7-1))</f>
        <v>0</v>
      </c>
      <c r="J35" s="242">
        <f>J34*'Assumptions-ResCondo'!$I$18*(SUMPRODUCT('Assumptions-ResCondo'!$K$8:$K$11,'CashFlow-ResCondo'!$N15:$N18)+SUMPRODUCT('CashFlow-ResCondo'!$N21:$N24,'Assumptions-ResCondo'!$P$8:$P$11))*((1+'Assumptions-Overall'!$C$34)^('CashFlow-ResCondo'!J$7-1))</f>
        <v>0</v>
      </c>
      <c r="K35" s="242">
        <f>K34*'Assumptions-ResCondo'!$I$18*(SUMPRODUCT('Assumptions-ResCondo'!$K$8:$K$11,'CashFlow-ResCondo'!$N15:$N18)+SUMPRODUCT('CashFlow-ResCondo'!$N21:$N24,'Assumptions-ResCondo'!$P$8:$P$11))*((1+'Assumptions-Overall'!$C$34)^('CashFlow-ResCondo'!K$7-1))</f>
        <v>0</v>
      </c>
      <c r="L35" s="242">
        <f>L34*'Assumptions-ResCondo'!$I$18*(SUMPRODUCT('Assumptions-ResCondo'!$K$8:$K$11,'CashFlow-ResCondo'!$N15:$N18)+SUMPRODUCT('CashFlow-ResCondo'!$N21:$N24,'Assumptions-ResCondo'!$P$8:$P$11))*((1+'Assumptions-Overall'!$C$34)^('CashFlow-ResCondo'!L$7-1))</f>
        <v>0</v>
      </c>
      <c r="M35" s="242">
        <f>M34*'Assumptions-ResCondo'!$I$18*(SUMPRODUCT('Assumptions-ResCondo'!$K$8:$K$11,'CashFlow-ResCondo'!$N15:$N18)+SUMPRODUCT('CashFlow-ResCondo'!$N21:$N24,'Assumptions-ResCondo'!$P$8:$P$11))*((1+'Assumptions-Overall'!$C$34)^('CashFlow-ResCondo'!M$7-1))</f>
        <v>0</v>
      </c>
      <c r="N35" s="247"/>
    </row>
    <row r="36" spans="2:14" x14ac:dyDescent="0.2">
      <c r="B36" s="4" t="s">
        <v>328</v>
      </c>
      <c r="C36" s="12"/>
      <c r="D36" s="242">
        <f>(D$8=YEAR(PhaseIComplete))*SUM($D35:$M35)/'Assumptions-ResCondo'!$I$18*(1-'Assumptions-ResCondo'!$I$18)</f>
        <v>0</v>
      </c>
      <c r="E36" s="242">
        <f>(E$8=YEAR(PhaseIComplete))*SUM($D35:$M35)/'Assumptions-ResCondo'!$I$18*(1-'Assumptions-ResCondo'!$I$18)</f>
        <v>0</v>
      </c>
      <c r="F36" s="242">
        <f>(F$8=YEAR(PhaseIComplete))*SUM($D35:$M35)/'Assumptions-ResCondo'!$I$18*(1-'Assumptions-ResCondo'!$I$18)</f>
        <v>0</v>
      </c>
      <c r="G36" s="242">
        <f>(G$8=YEAR(PhaseIComplete))*SUM($D35:$M35)/'Assumptions-ResCondo'!$I$18*(1-'Assumptions-ResCondo'!$I$18)</f>
        <v>0</v>
      </c>
      <c r="H36" s="242">
        <f>(H$8=YEAR(PhaseIComplete))*SUM($D35:$M35)/'Assumptions-ResCondo'!$I$18*(1-'Assumptions-ResCondo'!$I$18)</f>
        <v>211236607.23429108</v>
      </c>
      <c r="I36" s="242">
        <f>(I$8=YEAR(PhaseIComplete))*SUM($D35:$M35)/'Assumptions-ResCondo'!$I$18*(1-'Assumptions-ResCondo'!$I$18)</f>
        <v>0</v>
      </c>
      <c r="J36" s="242">
        <f>(J$8=YEAR(PhaseIComplete))*SUM($D35:$M35)/'Assumptions-ResCondo'!$I$18*(1-'Assumptions-ResCondo'!$I$18)</f>
        <v>0</v>
      </c>
      <c r="K36" s="242">
        <f>(K$8=YEAR(PhaseIComplete))*SUM($D35:$M35)/'Assumptions-ResCondo'!$I$18*(1-'Assumptions-ResCondo'!$I$18)</f>
        <v>0</v>
      </c>
      <c r="L36" s="242">
        <f>(L$8=YEAR(PhaseIComplete))*SUM($D35:$M35)/'Assumptions-ResCondo'!$I$18*(1-'Assumptions-ResCondo'!$I$18)</f>
        <v>0</v>
      </c>
      <c r="M36" s="242">
        <f>(M$8=YEAR(PhaseIComplete))*SUM($D35:$M35)/'Assumptions-ResCondo'!$I$18*(1-'Assumptions-ResCondo'!$I$18)</f>
        <v>0</v>
      </c>
      <c r="N36" s="247"/>
    </row>
    <row r="37" spans="2:14" x14ac:dyDescent="0.2">
      <c r="B37" s="4" t="s">
        <v>317</v>
      </c>
      <c r="C37" s="12"/>
      <c r="D37" s="240">
        <f>-SUM(D35:D36)*'Assumptions-ResCondo'!$I$20</f>
        <v>-576545.21035116562</v>
      </c>
      <c r="E37" s="240">
        <f>-SUM(E35:E36)*'Assumptions-ResCondo'!$I$20</f>
        <v>-593841.56666170061</v>
      </c>
      <c r="F37" s="240">
        <f>-SUM(F35:F36)*'Assumptions-ResCondo'!$I$20</f>
        <v>-203885.60455385054</v>
      </c>
      <c r="G37" s="240">
        <f>-SUM(G35:G36)*'Assumptions-ResCondo'!$I$20</f>
        <v>-210002.17269046605</v>
      </c>
      <c r="H37" s="240">
        <f>-SUM(H35:H36)*'Assumptions-ResCondo'!$I$20</f>
        <v>-6337098.2170287324</v>
      </c>
      <c r="I37" s="240">
        <f>-SUM(I35:I36)*'Assumptions-ResCondo'!$I$20</f>
        <v>0</v>
      </c>
      <c r="J37" s="240">
        <f>-SUM(J35:J36)*'Assumptions-ResCondo'!$I$20</f>
        <v>0</v>
      </c>
      <c r="K37" s="240">
        <f>-SUM(K35:K36)*'Assumptions-ResCondo'!$I$20</f>
        <v>0</v>
      </c>
      <c r="L37" s="240">
        <f>-SUM(L35:L36)*'Assumptions-ResCondo'!$I$20</f>
        <v>0</v>
      </c>
      <c r="M37" s="240">
        <f>-SUM(M35:M36)*'Assumptions-ResCondo'!$I$20</f>
        <v>0</v>
      </c>
      <c r="N37" s="247"/>
    </row>
    <row r="38" spans="2:14" x14ac:dyDescent="0.2">
      <c r="B38" s="4" t="s">
        <v>322</v>
      </c>
      <c r="C38" s="12"/>
      <c r="D38" s="242">
        <f t="shared" ref="D38:M38" si="3">SUM(D35:D37)</f>
        <v>18641628.468021024</v>
      </c>
      <c r="E38" s="242">
        <f t="shared" si="3"/>
        <v>19200877.322061654</v>
      </c>
      <c r="F38" s="242">
        <f t="shared" si="3"/>
        <v>6592301.2139078341</v>
      </c>
      <c r="G38" s="242">
        <f t="shared" si="3"/>
        <v>6790070.2503250688</v>
      </c>
      <c r="H38" s="242">
        <f t="shared" si="3"/>
        <v>204899509.01726234</v>
      </c>
      <c r="I38" s="242">
        <f t="shared" si="3"/>
        <v>0</v>
      </c>
      <c r="J38" s="242">
        <f t="shared" si="3"/>
        <v>0</v>
      </c>
      <c r="K38" s="242">
        <f t="shared" si="3"/>
        <v>0</v>
      </c>
      <c r="L38" s="242">
        <f t="shared" si="3"/>
        <v>0</v>
      </c>
      <c r="M38" s="242">
        <f t="shared" si="3"/>
        <v>0</v>
      </c>
      <c r="N38" s="247"/>
    </row>
    <row r="39" spans="2:14" x14ac:dyDescent="0.2">
      <c r="B39" s="4"/>
      <c r="C39" s="1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7"/>
    </row>
    <row r="40" spans="2:14" x14ac:dyDescent="0.2">
      <c r="B40" s="4" t="s">
        <v>315</v>
      </c>
      <c r="C40" s="12"/>
      <c r="D40" s="242">
        <f t="shared" ref="D40:M40" si="4">D31+D38</f>
        <v>9929263.1025834922</v>
      </c>
      <c r="E40" s="242">
        <f t="shared" si="4"/>
        <v>10488511.956624122</v>
      </c>
      <c r="F40" s="242">
        <f t="shared" si="4"/>
        <v>-83868742.222723991</v>
      </c>
      <c r="G40" s="242">
        <f t="shared" si="4"/>
        <v>-86123433.528442606</v>
      </c>
      <c r="H40" s="242">
        <f t="shared" si="4"/>
        <v>204899509.01726234</v>
      </c>
      <c r="I40" s="242">
        <f t="shared" si="4"/>
        <v>0</v>
      </c>
      <c r="J40" s="242">
        <f t="shared" si="4"/>
        <v>0</v>
      </c>
      <c r="K40" s="242">
        <f t="shared" si="4"/>
        <v>0</v>
      </c>
      <c r="L40" s="242">
        <f t="shared" si="4"/>
        <v>0</v>
      </c>
      <c r="M40" s="242">
        <f t="shared" si="4"/>
        <v>0</v>
      </c>
      <c r="N40" s="247"/>
    </row>
    <row r="41" spans="2:14" x14ac:dyDescent="0.2">
      <c r="B41" s="4" t="s">
        <v>320</v>
      </c>
      <c r="C41" s="254">
        <f>IFERROR(IRR(D40:M40),"n/a")</f>
        <v>0.31598874719104364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7"/>
    </row>
    <row r="42" spans="2:14" ht="12.75" thickBot="1" x14ac:dyDescent="0.25">
      <c r="B42" s="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2:14" x14ac:dyDescent="0.2">
      <c r="B43" s="250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2"/>
    </row>
    <row r="44" spans="2:14" x14ac:dyDescent="0.2">
      <c r="B44" s="243" t="s">
        <v>297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2:14" x14ac:dyDescent="0.2">
      <c r="B45" s="4" t="s">
        <v>293</v>
      </c>
      <c r="C45" s="12"/>
      <c r="D45" s="244">
        <f>(D$8&gt;=YEAR(PhaseIIComplete))*SUMIFS(BuildingSummary!$C$20:$Q$20,BuildingSummary!$C$32:$Q$32,"Condominium",BuildingSummary!$C$18:$Q$18,"II")+(D$8&gt;=YEAR(PhaseIIComplete))*SUMIFS(BuildingSummary!$C$27:$Q$27,BuildingSummary!$C$32:$Q$32,"Condominium",BuildingSummary!$C$18:$Q$18,"II")</f>
        <v>0</v>
      </c>
      <c r="E45" s="244">
        <f>(E$8&gt;=YEAR(PhaseIIComplete))*SUMIFS(BuildingSummary!$C$20:$Q$20,BuildingSummary!$C$32:$Q$32,"Condominium",BuildingSummary!$C$18:$Q$18,"II")+(E$8&gt;=YEAR(PhaseIIComplete))*SUMIFS(BuildingSummary!$C$27:$Q$27,BuildingSummary!$C$32:$Q$32,"Condominium",BuildingSummary!$C$18:$Q$18,"II")</f>
        <v>0</v>
      </c>
      <c r="F45" s="244">
        <f>(F$8&gt;=YEAR(PhaseIIComplete))*SUMIFS(BuildingSummary!$C$20:$Q$20,BuildingSummary!$C$32:$Q$32,"Condominium",BuildingSummary!$C$18:$Q$18,"II")+(F$8&gt;=YEAR(PhaseIIComplete))*SUMIFS(BuildingSummary!$C$27:$Q$27,BuildingSummary!$C$32:$Q$32,"Condominium",BuildingSummary!$C$18:$Q$18,"II")</f>
        <v>0</v>
      </c>
      <c r="G45" s="244">
        <f>(G$8&gt;=YEAR(PhaseIIComplete))*SUMIFS(BuildingSummary!$C$20:$Q$20,BuildingSummary!$C$32:$Q$32,"Condominium",BuildingSummary!$C$18:$Q$18,"II")+(G$8&gt;=YEAR(PhaseIIComplete))*SUMIFS(BuildingSummary!$C$27:$Q$27,BuildingSummary!$C$32:$Q$32,"Condominium",BuildingSummary!$C$18:$Q$18,"II")</f>
        <v>0</v>
      </c>
      <c r="H45" s="244">
        <f>(H$8&gt;=YEAR(PhaseIIComplete))*SUMIFS(BuildingSummary!$C$20:$Q$20,BuildingSummary!$C$32:$Q$32,"Condominium",BuildingSummary!$C$18:$Q$18,"II")+(H$8&gt;=YEAR(PhaseIIComplete))*SUMIFS(BuildingSummary!$C$27:$Q$27,BuildingSummary!$C$32:$Q$32,"Condominium",BuildingSummary!$C$18:$Q$18,"II")</f>
        <v>0</v>
      </c>
      <c r="I45" s="244">
        <f>(I$8&gt;=YEAR(PhaseIIComplete))*SUMIFS(BuildingSummary!$C$20:$Q$20,BuildingSummary!$C$32:$Q$32,"Condominium",BuildingSummary!$C$18:$Q$18,"II")+(I$8&gt;=YEAR(PhaseIIComplete))*SUMIFS(BuildingSummary!$C$27:$Q$27,BuildingSummary!$C$32:$Q$32,"Condominium",BuildingSummary!$C$18:$Q$18,"II")</f>
        <v>0</v>
      </c>
      <c r="J45" s="244">
        <f>(J$8&gt;=YEAR(PhaseIIComplete))*SUMIFS(BuildingSummary!$C$20:$Q$20,BuildingSummary!$C$32:$Q$32,"Condominium",BuildingSummary!$C$18:$Q$18,"II")+(J$8&gt;=YEAR(PhaseIIComplete))*SUMIFS(BuildingSummary!$C$27:$Q$27,BuildingSummary!$C$32:$Q$32,"Condominium",BuildingSummary!$C$18:$Q$18,"II")</f>
        <v>167463.584</v>
      </c>
      <c r="K45" s="244">
        <f>(K$8&gt;=YEAR(PhaseIIComplete))*SUMIFS(BuildingSummary!$C$20:$Q$20,BuildingSummary!$C$32:$Q$32,"Condominium",BuildingSummary!$C$18:$Q$18,"II")+(K$8&gt;=YEAR(PhaseIIComplete))*SUMIFS(BuildingSummary!$C$27:$Q$27,BuildingSummary!$C$32:$Q$32,"Condominium",BuildingSummary!$C$18:$Q$18,"II")</f>
        <v>167463.584</v>
      </c>
      <c r="L45" s="244">
        <f>(L$8&gt;=YEAR(PhaseIIComplete))*SUMIFS(BuildingSummary!$C$20:$Q$20,BuildingSummary!$C$32:$Q$32,"Condominium",BuildingSummary!$C$18:$Q$18,"II")+(L$8&gt;=YEAR(PhaseIIComplete))*SUMIFS(BuildingSummary!$C$27:$Q$27,BuildingSummary!$C$32:$Q$32,"Condominium",BuildingSummary!$C$18:$Q$18,"II")</f>
        <v>167463.584</v>
      </c>
      <c r="M45" s="244">
        <f>(M$8&gt;=YEAR(PhaseIIComplete))*SUMIFS(BuildingSummary!$C$20:$Q$20,BuildingSummary!$C$32:$Q$32,"Condominium",BuildingSummary!$C$18:$Q$18,"II")+(M$8&gt;=YEAR(PhaseIIComplete))*SUMIFS(BuildingSummary!$C$27:$Q$27,BuildingSummary!$C$32:$Q$32,"Condominium",BuildingSummary!$C$18:$Q$18,"II")</f>
        <v>167463.584</v>
      </c>
      <c r="N45" s="245">
        <f>(N$8&gt;=YEAR(PhaseIIComplete))*SUMIFS(BuildingSummary!$C$20:$Q$20,BuildingSummary!$C$32:$Q$32,"Condominium",BuildingSummary!$C$18:$Q$18,"II")+(N$8&gt;=YEAR(PhaseIIComplete))*SUMIFS(BuildingSummary!$C$27:$Q$27,BuildingSummary!$C$32:$Q$32,"Condominium",BuildingSummary!$C$18:$Q$18,"II")</f>
        <v>167463.584</v>
      </c>
    </row>
    <row r="46" spans="2:14" x14ac:dyDescent="0.2">
      <c r="B46" s="4" t="s">
        <v>294</v>
      </c>
      <c r="C46" s="12"/>
      <c r="D46" s="244">
        <f>D45-C45</f>
        <v>0</v>
      </c>
      <c r="E46" s="244">
        <f t="shared" ref="E46" si="5">E45-D45</f>
        <v>0</v>
      </c>
      <c r="F46" s="244">
        <f t="shared" ref="F46" si="6">F45-E45</f>
        <v>0</v>
      </c>
      <c r="G46" s="244">
        <f t="shared" ref="G46" si="7">G45-F45</f>
        <v>0</v>
      </c>
      <c r="H46" s="244">
        <f t="shared" ref="H46" si="8">H45-G45</f>
        <v>0</v>
      </c>
      <c r="I46" s="244">
        <f t="shared" ref="I46" si="9">I45-H45</f>
        <v>0</v>
      </c>
      <c r="J46" s="244">
        <f t="shared" ref="J46" si="10">J45-I45</f>
        <v>167463.584</v>
      </c>
      <c r="K46" s="244">
        <f t="shared" ref="K46" si="11">K45-J45</f>
        <v>0</v>
      </c>
      <c r="L46" s="244">
        <f t="shared" ref="L46" si="12">L45-K45</f>
        <v>0</v>
      </c>
      <c r="M46" s="244">
        <f t="shared" ref="M46" si="13">M45-L45</f>
        <v>0</v>
      </c>
      <c r="N46" s="245">
        <f t="shared" ref="N46" si="14">N45-M45</f>
        <v>0</v>
      </c>
    </row>
    <row r="47" spans="2:14" x14ac:dyDescent="0.2">
      <c r="B47" s="4"/>
      <c r="C47" s="12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5"/>
    </row>
    <row r="48" spans="2:14" x14ac:dyDescent="0.2">
      <c r="B48" s="53" t="s">
        <v>295</v>
      </c>
      <c r="C48" s="12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5"/>
    </row>
    <row r="49" spans="2:14" x14ac:dyDescent="0.2">
      <c r="B49" s="4" t="s">
        <v>15</v>
      </c>
      <c r="C49" s="12"/>
      <c r="D49" s="244">
        <f>(D$8&gt;=YEAR(PhaseIIComplete))*'Assumptions-ResCondo'!$E9</f>
        <v>0</v>
      </c>
      <c r="E49" s="244">
        <f>(E$8&gt;=YEAR(PhaseIIComplete))*'Assumptions-ResCondo'!$E9</f>
        <v>0</v>
      </c>
      <c r="F49" s="244">
        <f>(F$8&gt;=YEAR(PhaseIIComplete))*'Assumptions-ResCondo'!$E9</f>
        <v>0</v>
      </c>
      <c r="G49" s="244">
        <f>(G$8&gt;=YEAR(PhaseIIComplete))*'Assumptions-ResCondo'!$E9</f>
        <v>0</v>
      </c>
      <c r="H49" s="244">
        <f>(H$8&gt;=YEAR(PhaseIIComplete))*'Assumptions-ResCondo'!$E9</f>
        <v>0</v>
      </c>
      <c r="I49" s="244">
        <f>(I$8&gt;=YEAR(PhaseIIComplete))*'Assumptions-ResCondo'!$E9</f>
        <v>0</v>
      </c>
      <c r="J49" s="244">
        <f>(J$8&gt;=YEAR(PhaseIIComplete))*'Assumptions-ResCondo'!$E9</f>
        <v>59</v>
      </c>
      <c r="K49" s="244">
        <f>(K$8&gt;=YEAR(PhaseIIComplete))*'Assumptions-ResCondo'!$E9</f>
        <v>59</v>
      </c>
      <c r="L49" s="244">
        <f>(L$8&gt;=YEAR(PhaseIIComplete))*'Assumptions-ResCondo'!$E9</f>
        <v>59</v>
      </c>
      <c r="M49" s="244">
        <f>(M$8&gt;=YEAR(PhaseIIComplete))*'Assumptions-ResCondo'!$E9</f>
        <v>59</v>
      </c>
      <c r="N49" s="245">
        <f>(N$8&gt;=YEAR(PhaseIIComplete))*'Assumptions-ResCondo'!$E9</f>
        <v>59</v>
      </c>
    </row>
    <row r="50" spans="2:14" x14ac:dyDescent="0.2">
      <c r="B50" s="4" t="s">
        <v>14</v>
      </c>
      <c r="C50" s="12"/>
      <c r="D50" s="244">
        <f>(D$8&gt;=YEAR(PhaseIIComplete))*'Assumptions-ResCondo'!$E10</f>
        <v>0</v>
      </c>
      <c r="E50" s="244">
        <f>(E$8&gt;=YEAR(PhaseIIComplete))*'Assumptions-ResCondo'!$E10</f>
        <v>0</v>
      </c>
      <c r="F50" s="244">
        <f>(F$8&gt;=YEAR(PhaseIIComplete))*'Assumptions-ResCondo'!$E10</f>
        <v>0</v>
      </c>
      <c r="G50" s="244">
        <f>(G$8&gt;=YEAR(PhaseIIComplete))*'Assumptions-ResCondo'!$E10</f>
        <v>0</v>
      </c>
      <c r="H50" s="244">
        <f>(H$8&gt;=YEAR(PhaseIIComplete))*'Assumptions-ResCondo'!$E10</f>
        <v>0</v>
      </c>
      <c r="I50" s="244">
        <f>(I$8&gt;=YEAR(PhaseIIComplete))*'Assumptions-ResCondo'!$E10</f>
        <v>0</v>
      </c>
      <c r="J50" s="244">
        <f>(J$8&gt;=YEAR(PhaseIIComplete))*'Assumptions-ResCondo'!$E10</f>
        <v>93</v>
      </c>
      <c r="K50" s="244">
        <f>(K$8&gt;=YEAR(PhaseIIComplete))*'Assumptions-ResCondo'!$E10</f>
        <v>93</v>
      </c>
      <c r="L50" s="244">
        <f>(L$8&gt;=YEAR(PhaseIIComplete))*'Assumptions-ResCondo'!$E10</f>
        <v>93</v>
      </c>
      <c r="M50" s="244">
        <f>(M$8&gt;=YEAR(PhaseIIComplete))*'Assumptions-ResCondo'!$E10</f>
        <v>93</v>
      </c>
      <c r="N50" s="245">
        <f>(N$8&gt;=YEAR(PhaseIIComplete))*'Assumptions-ResCondo'!$E10</f>
        <v>93</v>
      </c>
    </row>
    <row r="51" spans="2:14" x14ac:dyDescent="0.2">
      <c r="B51" s="4" t="s">
        <v>13</v>
      </c>
      <c r="C51" s="12"/>
      <c r="D51" s="244">
        <f>(D$8&gt;=YEAR(PhaseIIComplete))*'Assumptions-ResCondo'!$E11</f>
        <v>0</v>
      </c>
      <c r="E51" s="244">
        <f>(E$8&gt;=YEAR(PhaseIIComplete))*'Assumptions-ResCondo'!$E11</f>
        <v>0</v>
      </c>
      <c r="F51" s="244">
        <f>(F$8&gt;=YEAR(PhaseIIComplete))*'Assumptions-ResCondo'!$E11</f>
        <v>0</v>
      </c>
      <c r="G51" s="244">
        <f>(G$8&gt;=YEAR(PhaseIIComplete))*'Assumptions-ResCondo'!$E11</f>
        <v>0</v>
      </c>
      <c r="H51" s="244">
        <f>(H$8&gt;=YEAR(PhaseIIComplete))*'Assumptions-ResCondo'!$E11</f>
        <v>0</v>
      </c>
      <c r="I51" s="244">
        <f>(I$8&gt;=YEAR(PhaseIIComplete))*'Assumptions-ResCondo'!$E11</f>
        <v>0</v>
      </c>
      <c r="J51" s="244">
        <f>(J$8&gt;=YEAR(PhaseIIComplete))*'Assumptions-ResCondo'!$E11</f>
        <v>10</v>
      </c>
      <c r="K51" s="244">
        <f>(K$8&gt;=YEAR(PhaseIIComplete))*'Assumptions-ResCondo'!$E11</f>
        <v>10</v>
      </c>
      <c r="L51" s="244">
        <f>(L$8&gt;=YEAR(PhaseIIComplete))*'Assumptions-ResCondo'!$E11</f>
        <v>10</v>
      </c>
      <c r="M51" s="244">
        <f>(M$8&gt;=YEAR(PhaseIIComplete))*'Assumptions-ResCondo'!$E11</f>
        <v>10</v>
      </c>
      <c r="N51" s="245">
        <f>(N$8&gt;=YEAR(PhaseIIComplete))*'Assumptions-ResCondo'!$E11</f>
        <v>10</v>
      </c>
    </row>
    <row r="52" spans="2:14" x14ac:dyDescent="0.2">
      <c r="B52" s="4" t="s">
        <v>12</v>
      </c>
      <c r="C52" s="12"/>
      <c r="D52" s="244">
        <f>(D$8&gt;=YEAR(PhaseIIComplete))*'Assumptions-ResCondo'!$E12</f>
        <v>0</v>
      </c>
      <c r="E52" s="244">
        <f>(E$8&gt;=YEAR(PhaseIIComplete))*'Assumptions-ResCondo'!$E12</f>
        <v>0</v>
      </c>
      <c r="F52" s="244">
        <f>(F$8&gt;=YEAR(PhaseIIComplete))*'Assumptions-ResCondo'!$E12</f>
        <v>0</v>
      </c>
      <c r="G52" s="244">
        <f>(G$8&gt;=YEAR(PhaseIIComplete))*'Assumptions-ResCondo'!$E12</f>
        <v>0</v>
      </c>
      <c r="H52" s="244">
        <f>(H$8&gt;=YEAR(PhaseIIComplete))*'Assumptions-ResCondo'!$E12</f>
        <v>0</v>
      </c>
      <c r="I52" s="244">
        <f>(I$8&gt;=YEAR(PhaseIIComplete))*'Assumptions-ResCondo'!$E12</f>
        <v>0</v>
      </c>
      <c r="J52" s="244">
        <f>(J$8&gt;=YEAR(PhaseIIComplete))*'Assumptions-ResCondo'!$E12</f>
        <v>13</v>
      </c>
      <c r="K52" s="244">
        <f>(K$8&gt;=YEAR(PhaseIIComplete))*'Assumptions-ResCondo'!$E12</f>
        <v>13</v>
      </c>
      <c r="L52" s="244">
        <f>(L$8&gt;=YEAR(PhaseIIComplete))*'Assumptions-ResCondo'!$E12</f>
        <v>13</v>
      </c>
      <c r="M52" s="244">
        <f>(M$8&gt;=YEAR(PhaseIIComplete))*'Assumptions-ResCondo'!$E12</f>
        <v>13</v>
      </c>
      <c r="N52" s="245">
        <f>(N$8&gt;=YEAR(PhaseIIComplete))*'Assumptions-ResCondo'!$E12</f>
        <v>13</v>
      </c>
    </row>
    <row r="53" spans="2:14" x14ac:dyDescent="0.2">
      <c r="B53" s="4"/>
      <c r="C53" s="12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5"/>
    </row>
    <row r="54" spans="2:14" x14ac:dyDescent="0.2">
      <c r="B54" s="53" t="s">
        <v>296</v>
      </c>
      <c r="C54" s="12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5"/>
    </row>
    <row r="55" spans="2:14" x14ac:dyDescent="0.2">
      <c r="B55" s="4" t="s">
        <v>15</v>
      </c>
      <c r="C55" s="12"/>
      <c r="D55" s="244">
        <f>(D$8&gt;=YEAR(PhaseIIComplete))*'Assumptions-ResCondo'!$E17</f>
        <v>0</v>
      </c>
      <c r="E55" s="244">
        <f>(E$8&gt;=YEAR(PhaseIIComplete))*'Assumptions-ResCondo'!$E17</f>
        <v>0</v>
      </c>
      <c r="F55" s="244">
        <f>(F$8&gt;=YEAR(PhaseIIComplete))*'Assumptions-ResCondo'!$E17</f>
        <v>0</v>
      </c>
      <c r="G55" s="244">
        <f>(G$8&gt;=YEAR(PhaseIIComplete))*'Assumptions-ResCondo'!$E17</f>
        <v>0</v>
      </c>
      <c r="H55" s="244">
        <f>(H$8&gt;=YEAR(PhaseIIComplete))*'Assumptions-ResCondo'!$E17</f>
        <v>0</v>
      </c>
      <c r="I55" s="244">
        <f>(I$8&gt;=YEAR(PhaseIIComplete))*'Assumptions-ResCondo'!$E17</f>
        <v>0</v>
      </c>
      <c r="J55" s="244">
        <f>(J$8&gt;=YEAR(PhaseIIComplete))*'Assumptions-ResCondo'!$E17</f>
        <v>5</v>
      </c>
      <c r="K55" s="244">
        <f>(K$8&gt;=YEAR(PhaseIIComplete))*'Assumptions-ResCondo'!$E17</f>
        <v>5</v>
      </c>
      <c r="L55" s="244">
        <f>(L$8&gt;=YEAR(PhaseIIComplete))*'Assumptions-ResCondo'!$E17</f>
        <v>5</v>
      </c>
      <c r="M55" s="244">
        <f>(M$8&gt;=YEAR(PhaseIIComplete))*'Assumptions-ResCondo'!$E17</f>
        <v>5</v>
      </c>
      <c r="N55" s="245">
        <f>(N$8&gt;=YEAR(PhaseIIComplete))*'Assumptions-ResCondo'!$E17</f>
        <v>5</v>
      </c>
    </row>
    <row r="56" spans="2:14" x14ac:dyDescent="0.2">
      <c r="B56" s="4" t="s">
        <v>14</v>
      </c>
      <c r="C56" s="12"/>
      <c r="D56" s="244">
        <f>(D$8&gt;=YEAR(PhaseIIComplete))*'Assumptions-ResCondo'!$E18</f>
        <v>0</v>
      </c>
      <c r="E56" s="244">
        <f>(E$8&gt;=YEAR(PhaseIIComplete))*'Assumptions-ResCondo'!$E18</f>
        <v>0</v>
      </c>
      <c r="F56" s="244">
        <f>(F$8&gt;=YEAR(PhaseIIComplete))*'Assumptions-ResCondo'!$E18</f>
        <v>0</v>
      </c>
      <c r="G56" s="244">
        <f>(G$8&gt;=YEAR(PhaseIIComplete))*'Assumptions-ResCondo'!$E18</f>
        <v>0</v>
      </c>
      <c r="H56" s="244">
        <f>(H$8&gt;=YEAR(PhaseIIComplete))*'Assumptions-ResCondo'!$E18</f>
        <v>0</v>
      </c>
      <c r="I56" s="244">
        <f>(I$8&gt;=YEAR(PhaseIIComplete))*'Assumptions-ResCondo'!$E18</f>
        <v>0</v>
      </c>
      <c r="J56" s="244">
        <f>(J$8&gt;=YEAR(PhaseIIComplete))*'Assumptions-ResCondo'!$E18</f>
        <v>7</v>
      </c>
      <c r="K56" s="244">
        <f>(K$8&gt;=YEAR(PhaseIIComplete))*'Assumptions-ResCondo'!$E18</f>
        <v>7</v>
      </c>
      <c r="L56" s="244">
        <f>(L$8&gt;=YEAR(PhaseIIComplete))*'Assumptions-ResCondo'!$E18</f>
        <v>7</v>
      </c>
      <c r="M56" s="244">
        <f>(M$8&gt;=YEAR(PhaseIIComplete))*'Assumptions-ResCondo'!$E18</f>
        <v>7</v>
      </c>
      <c r="N56" s="245">
        <f>(N$8&gt;=YEAR(PhaseIIComplete))*'Assumptions-ResCondo'!$E18</f>
        <v>7</v>
      </c>
    </row>
    <row r="57" spans="2:14" x14ac:dyDescent="0.2">
      <c r="B57" s="4" t="s">
        <v>13</v>
      </c>
      <c r="C57" s="12"/>
      <c r="D57" s="244">
        <f>(D$8&gt;=YEAR(PhaseIIComplete))*'Assumptions-ResCondo'!$E19</f>
        <v>0</v>
      </c>
      <c r="E57" s="244">
        <f>(E$8&gt;=YEAR(PhaseIIComplete))*'Assumptions-ResCondo'!$E19</f>
        <v>0</v>
      </c>
      <c r="F57" s="244">
        <f>(F$8&gt;=YEAR(PhaseIIComplete))*'Assumptions-ResCondo'!$E19</f>
        <v>0</v>
      </c>
      <c r="G57" s="244">
        <f>(G$8&gt;=YEAR(PhaseIIComplete))*'Assumptions-ResCondo'!$E19</f>
        <v>0</v>
      </c>
      <c r="H57" s="244">
        <f>(H$8&gt;=YEAR(PhaseIIComplete))*'Assumptions-ResCondo'!$E19</f>
        <v>0</v>
      </c>
      <c r="I57" s="244">
        <f>(I$8&gt;=YEAR(PhaseIIComplete))*'Assumptions-ResCondo'!$E19</f>
        <v>0</v>
      </c>
      <c r="J57" s="244">
        <f>(J$8&gt;=YEAR(PhaseIIComplete))*'Assumptions-ResCondo'!$E19</f>
        <v>10</v>
      </c>
      <c r="K57" s="244">
        <f>(K$8&gt;=YEAR(PhaseIIComplete))*'Assumptions-ResCondo'!$E19</f>
        <v>10</v>
      </c>
      <c r="L57" s="244">
        <f>(L$8&gt;=YEAR(PhaseIIComplete))*'Assumptions-ResCondo'!$E19</f>
        <v>10</v>
      </c>
      <c r="M57" s="244">
        <f>(M$8&gt;=YEAR(PhaseIIComplete))*'Assumptions-ResCondo'!$E19</f>
        <v>10</v>
      </c>
      <c r="N57" s="245">
        <f>(N$8&gt;=YEAR(PhaseIIComplete))*'Assumptions-ResCondo'!$E19</f>
        <v>10</v>
      </c>
    </row>
    <row r="58" spans="2:14" x14ac:dyDescent="0.2">
      <c r="B58" s="4" t="s">
        <v>12</v>
      </c>
      <c r="C58" s="12"/>
      <c r="D58" s="244">
        <f>(D$8&gt;=YEAR(PhaseIIComplete))*'Assumptions-ResCondo'!$E20</f>
        <v>0</v>
      </c>
      <c r="E58" s="244">
        <f>(E$8&gt;=YEAR(PhaseIIComplete))*'Assumptions-ResCondo'!$E20</f>
        <v>0</v>
      </c>
      <c r="F58" s="244">
        <f>(F$8&gt;=YEAR(PhaseIIComplete))*'Assumptions-ResCondo'!$E20</f>
        <v>0</v>
      </c>
      <c r="G58" s="244">
        <f>(G$8&gt;=YEAR(PhaseIIComplete))*'Assumptions-ResCondo'!$E20</f>
        <v>0</v>
      </c>
      <c r="H58" s="244">
        <f>(H$8&gt;=YEAR(PhaseIIComplete))*'Assumptions-ResCondo'!$E20</f>
        <v>0</v>
      </c>
      <c r="I58" s="244">
        <f>(I$8&gt;=YEAR(PhaseIIComplete))*'Assumptions-ResCondo'!$E20</f>
        <v>0</v>
      </c>
      <c r="J58" s="244">
        <f>(J$8&gt;=YEAR(PhaseIIComplete))*'Assumptions-ResCondo'!$E20</f>
        <v>3</v>
      </c>
      <c r="K58" s="244">
        <f>(K$8&gt;=YEAR(PhaseIIComplete))*'Assumptions-ResCondo'!$E20</f>
        <v>3</v>
      </c>
      <c r="L58" s="244">
        <f>(L$8&gt;=YEAR(PhaseIIComplete))*'Assumptions-ResCondo'!$E20</f>
        <v>3</v>
      </c>
      <c r="M58" s="244">
        <f>(M$8&gt;=YEAR(PhaseIIComplete))*'Assumptions-ResCondo'!$E20</f>
        <v>3</v>
      </c>
      <c r="N58" s="245">
        <f>(N$8&gt;=YEAR(PhaseIIComplete))*'Assumptions-ResCondo'!$E20</f>
        <v>3</v>
      </c>
    </row>
    <row r="59" spans="2:14" x14ac:dyDescent="0.2"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</row>
    <row r="60" spans="2:14" x14ac:dyDescent="0.2">
      <c r="B60" s="53" t="s">
        <v>209</v>
      </c>
      <c r="C60" s="1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7"/>
    </row>
    <row r="61" spans="2:14" x14ac:dyDescent="0.2">
      <c r="B61" s="4" t="s">
        <v>311</v>
      </c>
      <c r="C61" s="12"/>
      <c r="D61" s="242">
        <f>-(AND(D$8&gt;=YEAR(PhaseIIConBegin),D$8&lt;=YEAR(PhaseIIConEnd)))*SUM($D46:$N46)*('Assumptions-Overall'!$M$10+'Assumptions-Overall'!$M$12)*(1+'Assumptions-Overall'!$C$41)^('CashFlow-ResCondo'!D$7-1)/(YEAR(PhaseIIConEnd)-YEAR(PhaseIIConBegin)+1)</f>
        <v>0</v>
      </c>
      <c r="E61" s="242">
        <f>-(AND(E$8&gt;=YEAR(PhaseIIConBegin),E$8&lt;=YEAR(PhaseIIConEnd)))*SUM($D46:$N46)*('Assumptions-Overall'!$M$10+'Assumptions-Overall'!$M$12)*(1+'Assumptions-Overall'!$C$41)^('CashFlow-ResCondo'!E$7-1)/(YEAR(PhaseIIConEnd)-YEAR(PhaseIIConBegin)+1)</f>
        <v>0</v>
      </c>
      <c r="F61" s="242">
        <f>-(AND(F$8&gt;=YEAR(PhaseIIConBegin),F$8&lt;=YEAR(PhaseIIConEnd)))*SUM($D46:$N46)*('Assumptions-Overall'!$M$10+'Assumptions-Overall'!$M$12)*(1+'Assumptions-Overall'!$C$41)^('CashFlow-ResCondo'!F$7-1)/(YEAR(PhaseIIConEnd)-YEAR(PhaseIIConBegin)+1)</f>
        <v>0</v>
      </c>
      <c r="G61" s="242">
        <f>-(AND(G$8&gt;=YEAR(PhaseIIConBegin),G$8&lt;=YEAR(PhaseIIConEnd)))*SUM($D46:$N46)*('Assumptions-Overall'!$M$10+'Assumptions-Overall'!$M$12)*(1+'Assumptions-Overall'!$C$41)^('CashFlow-ResCondo'!G$7-1)/(YEAR(PhaseIIConEnd)-YEAR(PhaseIIConBegin)+1)</f>
        <v>0</v>
      </c>
      <c r="H61" s="242">
        <f>-(AND(H$8&gt;=YEAR(PhaseIIConBegin),H$8&lt;=YEAR(PhaseIIConEnd)))*SUM($D46:$N46)*('Assumptions-Overall'!$M$10+'Assumptions-Overall'!$M$12)*(1+'Assumptions-Overall'!$C$41)^('CashFlow-ResCondo'!H$7-1)/(YEAR(PhaseIIConEnd)-YEAR(PhaseIIConBegin)+1)</f>
        <v>-33926713.046311505</v>
      </c>
      <c r="I61" s="242">
        <f>-(AND(I$8&gt;=YEAR(PhaseIIConBegin),I$8&lt;=YEAR(PhaseIIConEnd)))*SUM($D46:$N46)*('Assumptions-Overall'!$M$10+'Assumptions-Overall'!$M$12)*(1+'Assumptions-Overall'!$C$41)^('CashFlow-ResCondo'!I$7-1)/(YEAR(PhaseIIConEnd)-YEAR(PhaseIIConBegin)+1)</f>
        <v>-34944514.437700845</v>
      </c>
      <c r="J61" s="242">
        <f>-(AND(J$8&gt;=YEAR(PhaseIIConBegin),J$8&lt;=YEAR(PhaseIIConEnd)))*SUM($D46:$N46)*('Assumptions-Overall'!$M$10+'Assumptions-Overall'!$M$12)*(1+'Assumptions-Overall'!$C$41)^('CashFlow-ResCondo'!J$7-1)/(YEAR(PhaseIIConEnd)-YEAR(PhaseIIConBegin)+1)</f>
        <v>0</v>
      </c>
      <c r="K61" s="242">
        <f>-(AND(K$8&gt;=YEAR(PhaseIIConBegin),K$8&lt;=YEAR(PhaseIIConEnd)))*SUM($D46:$N46)*('Assumptions-Overall'!$M$10+'Assumptions-Overall'!$M$12)*(1+'Assumptions-Overall'!$C$41)^('CashFlow-ResCondo'!K$7-1)/(YEAR(PhaseIIConEnd)-YEAR(PhaseIIConBegin)+1)</f>
        <v>0</v>
      </c>
      <c r="L61" s="242">
        <f>-(AND(L$8&gt;=YEAR(PhaseIIConBegin),L$8&lt;=YEAR(PhaseIIConEnd)))*SUM($D46:$N46)*('Assumptions-Overall'!$M$10+'Assumptions-Overall'!$M$12)*(1+'Assumptions-Overall'!$C$41)^('CashFlow-ResCondo'!L$7-1)/(YEAR(PhaseIIConEnd)-YEAR(PhaseIIConBegin)+1)</f>
        <v>0</v>
      </c>
      <c r="M61" s="242">
        <f>-(AND(M$8&gt;=YEAR(PhaseIIConBegin),M$8&lt;=YEAR(PhaseIIConEnd)))*SUM($D46:$N46)*('Assumptions-Overall'!$M$10+'Assumptions-Overall'!$M$12)*(1+'Assumptions-Overall'!$C$41)^('CashFlow-ResCondo'!M$7-1)/(YEAR(PhaseIIConEnd)-YEAR(PhaseIIConBegin)+1)</f>
        <v>0</v>
      </c>
      <c r="N61" s="247"/>
    </row>
    <row r="62" spans="2:14" x14ac:dyDescent="0.2">
      <c r="B62" s="4" t="s">
        <v>312</v>
      </c>
      <c r="C62" s="12"/>
      <c r="D62" s="242">
        <f>(AND(D$8&gt;=YEAR(PhaseIIPreconBegin),D$8&lt;=YEAR(PhaseIIConEnd)))*SUM($D61:$N61)*'Assumptions-Overall'!$H$43/(YEAR(PhaseIIConEnd)-YEAR(PhaseIIPreconBegin)+1)</f>
        <v>0</v>
      </c>
      <c r="E62" s="242">
        <f>(AND(E$8&gt;=YEAR(PhaseIIPreconBegin),E$8&lt;=YEAR(PhaseIIConEnd)))*SUM($D61:$N61)*'Assumptions-Overall'!$H$43/(YEAR(PhaseIIConEnd)-YEAR(PhaseIIPreconBegin)+1)</f>
        <v>0</v>
      </c>
      <c r="F62" s="242">
        <f>(AND(F$8&gt;=YEAR(PhaseIIPreconBegin),F$8&lt;=YEAR(PhaseIIConEnd)))*SUM($D61:$N61)*'Assumptions-Overall'!$H$43/(YEAR(PhaseIIConEnd)-YEAR(PhaseIIPreconBegin)+1)</f>
        <v>-1033068.4122601852</v>
      </c>
      <c r="G62" s="242">
        <f>(AND(G$8&gt;=YEAR(PhaseIIPreconBegin),G$8&lt;=YEAR(PhaseIIConEnd)))*SUM($D61:$N61)*'Assumptions-Overall'!$H$43/(YEAR(PhaseIIConEnd)-YEAR(PhaseIIPreconBegin)+1)</f>
        <v>-1033068.4122601852</v>
      </c>
      <c r="H62" s="242">
        <f>(AND(H$8&gt;=YEAR(PhaseIIPreconBegin),H$8&lt;=YEAR(PhaseIIConEnd)))*SUM($D61:$N61)*'Assumptions-Overall'!$H$43/(YEAR(PhaseIIConEnd)-YEAR(PhaseIIPreconBegin)+1)</f>
        <v>-1033068.4122601852</v>
      </c>
      <c r="I62" s="242">
        <f>(AND(I$8&gt;=YEAR(PhaseIIPreconBegin),I$8&lt;=YEAR(PhaseIIConEnd)))*SUM($D61:$N61)*'Assumptions-Overall'!$H$43/(YEAR(PhaseIIConEnd)-YEAR(PhaseIIPreconBegin)+1)</f>
        <v>-1033068.4122601852</v>
      </c>
      <c r="J62" s="242">
        <f>(AND(J$8&gt;=YEAR(PhaseIIPreconBegin),J$8&lt;=YEAR(PhaseIIConEnd)))*SUM($D61:$N61)*'Assumptions-Overall'!$H$43/(YEAR(PhaseIIConEnd)-YEAR(PhaseIIPreconBegin)+1)</f>
        <v>0</v>
      </c>
      <c r="K62" s="242">
        <f>(AND(K$8&gt;=YEAR(PhaseIIPreconBegin),K$8&lt;=YEAR(PhaseIIConEnd)))*SUM($D61:$N61)*'Assumptions-Overall'!$H$43/(YEAR(PhaseIIConEnd)-YEAR(PhaseIIPreconBegin)+1)</f>
        <v>0</v>
      </c>
      <c r="L62" s="242">
        <f>(AND(L$8&gt;=YEAR(PhaseIIPreconBegin),L$8&lt;=YEAR(PhaseIIConEnd)))*SUM($D61:$N61)*'Assumptions-Overall'!$H$43/(YEAR(PhaseIIConEnd)-YEAR(PhaseIIPreconBegin)+1)</f>
        <v>0</v>
      </c>
      <c r="M62" s="242">
        <f>(AND(M$8&gt;=YEAR(PhaseIIPreconBegin),M$8&lt;=YEAR(PhaseIIConEnd)))*SUM($D61:$N61)*'Assumptions-Overall'!$H$43/(YEAR(PhaseIIConEnd)-YEAR(PhaseIIPreconBegin)+1)</f>
        <v>0</v>
      </c>
      <c r="N62" s="247"/>
    </row>
    <row r="63" spans="2:14" x14ac:dyDescent="0.2">
      <c r="B63" s="4" t="s">
        <v>183</v>
      </c>
      <c r="C63" s="12"/>
      <c r="D63" s="242">
        <f>(AND(D$8&gt;=YEAR(PhaseIIPreconBegin),D$8&lt;=YEAR(PhaseIIConEnd)))*SUM($D61:$N61)*'Assumptions-Overall'!$H$44/(YEAR(PhaseIIConEnd)-YEAR(PhaseIIPreconBegin)+1)</f>
        <v>0</v>
      </c>
      <c r="E63" s="242">
        <f>(AND(E$8&gt;=YEAR(PhaseIIPreconBegin),E$8&lt;=YEAR(PhaseIIConEnd)))*SUM($D61:$N61)*'Assumptions-Overall'!$H$44/(YEAR(PhaseIIConEnd)-YEAR(PhaseIIPreconBegin)+1)</f>
        <v>0</v>
      </c>
      <c r="F63" s="242">
        <f>(AND(F$8&gt;=YEAR(PhaseIIPreconBegin),F$8&lt;=YEAR(PhaseIIConEnd)))*SUM($D61:$N61)*'Assumptions-Overall'!$H$44/(YEAR(PhaseIIConEnd)-YEAR(PhaseIIPreconBegin)+1)</f>
        <v>-2582671.030650463</v>
      </c>
      <c r="G63" s="242">
        <f>(AND(G$8&gt;=YEAR(PhaseIIPreconBegin),G$8&lt;=YEAR(PhaseIIConEnd)))*SUM($D61:$N61)*'Assumptions-Overall'!$H$44/(YEAR(PhaseIIConEnd)-YEAR(PhaseIIPreconBegin)+1)</f>
        <v>-2582671.030650463</v>
      </c>
      <c r="H63" s="242">
        <f>(AND(H$8&gt;=YEAR(PhaseIIPreconBegin),H$8&lt;=YEAR(PhaseIIConEnd)))*SUM($D61:$N61)*'Assumptions-Overall'!$H$44/(YEAR(PhaseIIConEnd)-YEAR(PhaseIIPreconBegin)+1)</f>
        <v>-2582671.030650463</v>
      </c>
      <c r="I63" s="242">
        <f>(AND(I$8&gt;=YEAR(PhaseIIPreconBegin),I$8&lt;=YEAR(PhaseIIConEnd)))*SUM($D61:$N61)*'Assumptions-Overall'!$H$44/(YEAR(PhaseIIConEnd)-YEAR(PhaseIIPreconBegin)+1)</f>
        <v>-2582671.030650463</v>
      </c>
      <c r="J63" s="242">
        <f>(AND(J$8&gt;=YEAR(PhaseIIPreconBegin),J$8&lt;=YEAR(PhaseIIConEnd)))*SUM($D61:$N61)*'Assumptions-Overall'!$H$44/(YEAR(PhaseIIConEnd)-YEAR(PhaseIIPreconBegin)+1)</f>
        <v>0</v>
      </c>
      <c r="K63" s="242">
        <f>(AND(K$8&gt;=YEAR(PhaseIIPreconBegin),K$8&lt;=YEAR(PhaseIIConEnd)))*SUM($D61:$N61)*'Assumptions-Overall'!$H$44/(YEAR(PhaseIIConEnd)-YEAR(PhaseIIPreconBegin)+1)</f>
        <v>0</v>
      </c>
      <c r="L63" s="242">
        <f>(AND(L$8&gt;=YEAR(PhaseIIPreconBegin),L$8&lt;=YEAR(PhaseIIConEnd)))*SUM($D61:$N61)*'Assumptions-Overall'!$H$44/(YEAR(PhaseIIConEnd)-YEAR(PhaseIIPreconBegin)+1)</f>
        <v>0</v>
      </c>
      <c r="M63" s="242">
        <f>(AND(M$8&gt;=YEAR(PhaseIIPreconBegin),M$8&lt;=YEAR(PhaseIIConEnd)))*SUM($D61:$N61)*'Assumptions-Overall'!$H$44/(YEAR(PhaseIIConEnd)-YEAR(PhaseIIPreconBegin)+1)</f>
        <v>0</v>
      </c>
      <c r="N63" s="247"/>
    </row>
    <row r="64" spans="2:14" x14ac:dyDescent="0.2">
      <c r="B64" s="4" t="s">
        <v>184</v>
      </c>
      <c r="C64" s="12"/>
      <c r="D64" s="240">
        <f>SUM(D61:D63)*'Assumptions-Overall'!$H$45</f>
        <v>0</v>
      </c>
      <c r="E64" s="240">
        <f>SUM(E61:E63)*'Assumptions-Overall'!$H$45</f>
        <v>0</v>
      </c>
      <c r="F64" s="240">
        <f>SUM(F61:F63)*'Assumptions-Overall'!$H$45</f>
        <v>-108472.18328731944</v>
      </c>
      <c r="G64" s="240">
        <f>SUM(G61:G63)*'Assumptions-Overall'!$H$45</f>
        <v>-108472.18328731944</v>
      </c>
      <c r="H64" s="240">
        <f>SUM(H61:H63)*'Assumptions-Overall'!$H$45</f>
        <v>-1126273.5746766645</v>
      </c>
      <c r="I64" s="240">
        <f>SUM(I61:I63)*'Assumptions-Overall'!$H$45</f>
        <v>-1156807.6164183447</v>
      </c>
      <c r="J64" s="240">
        <f>SUM(J61:J63)*'Assumptions-Overall'!$H$45</f>
        <v>0</v>
      </c>
      <c r="K64" s="240">
        <f>SUM(K61:K63)*'Assumptions-Overall'!$H$45</f>
        <v>0</v>
      </c>
      <c r="L64" s="240">
        <f>SUM(L61:L63)*'Assumptions-Overall'!$H$45</f>
        <v>0</v>
      </c>
      <c r="M64" s="240">
        <f>SUM(M61:M63)*'Assumptions-Overall'!$H$45</f>
        <v>0</v>
      </c>
      <c r="N64" s="247"/>
    </row>
    <row r="65" spans="2:14" x14ac:dyDescent="0.2">
      <c r="B65" s="4" t="s">
        <v>313</v>
      </c>
      <c r="C65" s="12"/>
      <c r="D65" s="242">
        <f>SUM(D61:D64)</f>
        <v>0</v>
      </c>
      <c r="E65" s="242">
        <f t="shared" ref="E65" si="15">SUM(E61:E64)</f>
        <v>0</v>
      </c>
      <c r="F65" s="242">
        <f t="shared" ref="F65" si="16">SUM(F61:F64)</f>
        <v>-3724211.6261979672</v>
      </c>
      <c r="G65" s="242">
        <f t="shared" ref="G65" si="17">SUM(G61:G64)</f>
        <v>-3724211.6261979672</v>
      </c>
      <c r="H65" s="242">
        <f t="shared" ref="H65" si="18">SUM(H61:H64)</f>
        <v>-38668726.063898817</v>
      </c>
      <c r="I65" s="242">
        <f t="shared" ref="I65" si="19">SUM(I61:I64)</f>
        <v>-39717061.497029841</v>
      </c>
      <c r="J65" s="242">
        <f t="shared" ref="J65" si="20">SUM(J61:J64)</f>
        <v>0</v>
      </c>
      <c r="K65" s="242">
        <f t="shared" ref="K65" si="21">SUM(K61:K64)</f>
        <v>0</v>
      </c>
      <c r="L65" s="242">
        <f t="shared" ref="L65" si="22">SUM(L61:L64)</f>
        <v>0</v>
      </c>
      <c r="M65" s="242">
        <f t="shared" ref="M65" si="23">SUM(M61:M64)</f>
        <v>0</v>
      </c>
      <c r="N65" s="247"/>
    </row>
    <row r="66" spans="2:14" x14ac:dyDescent="0.2">
      <c r="B66" s="4"/>
      <c r="C66" s="1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7"/>
    </row>
    <row r="67" spans="2:14" x14ac:dyDescent="0.2">
      <c r="B67" s="53" t="s">
        <v>258</v>
      </c>
      <c r="C67" s="1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7"/>
    </row>
    <row r="68" spans="2:14" x14ac:dyDescent="0.2">
      <c r="B68" s="4" t="s">
        <v>324</v>
      </c>
      <c r="C68" s="12"/>
      <c r="D68" s="211">
        <f>(AND(D$8&gt;=YEAR(PhaseIIPreconBegin),D$8&lt;YEAR(PhaseIIConBegin)))*'Assumptions-ResCondo'!$I$15/(YEAR(PhaseIIConBegin)-YEAR(PhaseIIPreconBegin))+(AND(D$8&gt;=YEAR(PhaseIIConBegin),D$8&lt;=YEAR(PhaseIIConEnd)))*'Assumptions-ResCondo'!$I$16/(YEAR(PhaseIIConEnd)-YEAR(PhaseIIConBegin)+1)</f>
        <v>0</v>
      </c>
      <c r="E68" s="211">
        <f>(AND(E$8&gt;=YEAR(PhaseIIPreconBegin),E$8&lt;YEAR(PhaseIIConBegin)))*'Assumptions-ResCondo'!$I$15/(YEAR(PhaseIIConBegin)-YEAR(PhaseIIPreconBegin))+(AND(E$8&gt;=YEAR(PhaseIIConBegin),E$8&lt;=YEAR(PhaseIIConEnd)))*'Assumptions-ResCondo'!$I$16/(YEAR(PhaseIIConEnd)-YEAR(PhaseIIConBegin)+1)</f>
        <v>0</v>
      </c>
      <c r="F68" s="211">
        <f>(AND(F$8&gt;=YEAR(PhaseIIPreconBegin),F$8&lt;YEAR(PhaseIIConBegin)))*'Assumptions-ResCondo'!$I$15/(YEAR(PhaseIIConBegin)-YEAR(PhaseIIPreconBegin))+(AND(F$8&gt;=YEAR(PhaseIIConBegin),F$8&lt;=YEAR(PhaseIIConEnd)))*'Assumptions-ResCondo'!$I$16/(YEAR(PhaseIIConEnd)-YEAR(PhaseIIConBegin)+1)</f>
        <v>0.375</v>
      </c>
      <c r="G68" s="211">
        <f>(AND(G$8&gt;=YEAR(PhaseIIPreconBegin),G$8&lt;YEAR(PhaseIIConBegin)))*'Assumptions-ResCondo'!$I$15/(YEAR(PhaseIIConBegin)-YEAR(PhaseIIPreconBegin))+(AND(G$8&gt;=YEAR(PhaseIIConBegin),G$8&lt;=YEAR(PhaseIIConEnd)))*'Assumptions-ResCondo'!$I$16/(YEAR(PhaseIIConEnd)-YEAR(PhaseIIConBegin)+1)</f>
        <v>0.375</v>
      </c>
      <c r="H68" s="211">
        <f>(AND(H$8&gt;=YEAR(PhaseIIPreconBegin),H$8&lt;YEAR(PhaseIIConBegin)))*'Assumptions-ResCondo'!$I$15/(YEAR(PhaseIIConBegin)-YEAR(PhaseIIPreconBegin))+(AND(H$8&gt;=YEAR(PhaseIIConBegin),H$8&lt;=YEAR(PhaseIIConEnd)))*'Assumptions-ResCondo'!$I$16/(YEAR(PhaseIIConEnd)-YEAR(PhaseIIConBegin)+1)</f>
        <v>0.125</v>
      </c>
      <c r="I68" s="211">
        <f>(AND(I$8&gt;=YEAR(PhaseIIPreconBegin),I$8&lt;YEAR(PhaseIIConBegin)))*'Assumptions-ResCondo'!$I$15/(YEAR(PhaseIIConBegin)-YEAR(PhaseIIPreconBegin))+(AND(I$8&gt;=YEAR(PhaseIIConBegin),I$8&lt;=YEAR(PhaseIIConEnd)))*'Assumptions-ResCondo'!$I$16/(YEAR(PhaseIIConEnd)-YEAR(PhaseIIConBegin)+1)</f>
        <v>0.125</v>
      </c>
      <c r="J68" s="211">
        <f>(AND(J$8&gt;=YEAR(PhaseIIPreconBegin),J$8&lt;YEAR(PhaseIIConBegin)))*'Assumptions-ResCondo'!$I$15/(YEAR(PhaseIIConBegin)-YEAR(PhaseIIPreconBegin))+(AND(J$8&gt;=YEAR(PhaseIIConBegin),J$8&lt;=YEAR(PhaseIIConEnd)))*'Assumptions-ResCondo'!$I$16/(YEAR(PhaseIIConEnd)-YEAR(PhaseIIConBegin)+1)</f>
        <v>0</v>
      </c>
      <c r="K68" s="211">
        <f>(AND(K$8&gt;=YEAR(PhaseIIPreconBegin),K$8&lt;YEAR(PhaseIIConBegin)))*'Assumptions-ResCondo'!$I$15/(YEAR(PhaseIIConBegin)-YEAR(PhaseIIPreconBegin))+(AND(K$8&gt;=YEAR(PhaseIIConBegin),K$8&lt;=YEAR(PhaseIIConEnd)))*'Assumptions-ResCondo'!$I$16/(YEAR(PhaseIIConEnd)-YEAR(PhaseIIConBegin)+1)</f>
        <v>0</v>
      </c>
      <c r="L68" s="211">
        <f>(AND(L$8&gt;=YEAR(PhaseIIPreconBegin),L$8&lt;YEAR(PhaseIIConBegin)))*'Assumptions-ResCondo'!$I$15/(YEAR(PhaseIIConBegin)-YEAR(PhaseIIPreconBegin))+(AND(L$8&gt;=YEAR(PhaseIIConBegin),L$8&lt;=YEAR(PhaseIIConEnd)))*'Assumptions-ResCondo'!$I$16/(YEAR(PhaseIIConEnd)-YEAR(PhaseIIConBegin)+1)</f>
        <v>0</v>
      </c>
      <c r="M68" s="211">
        <f>(AND(M$8&gt;=YEAR(PhaseIIPreconBegin),M$8&lt;YEAR(PhaseIIConBegin)))*'Assumptions-ResCondo'!$I$15/(YEAR(PhaseIIConBegin)-YEAR(PhaseIIPreconBegin))+(AND(M$8&gt;=YEAR(PhaseIIConBegin),M$8&lt;=YEAR(PhaseIIConEnd)))*'Assumptions-ResCondo'!$I$16/(YEAR(PhaseIIConEnd)-YEAR(PhaseIIConBegin)+1)</f>
        <v>0</v>
      </c>
      <c r="N68" s="247"/>
    </row>
    <row r="69" spans="2:14" x14ac:dyDescent="0.2">
      <c r="B69" s="4" t="s">
        <v>325</v>
      </c>
      <c r="C69" s="12"/>
      <c r="D69" s="242">
        <f>D68*'Assumptions-ResCondo'!$I$18*(SUMPRODUCT('Assumptions-ResCondo'!$K$8:$K$11,'CashFlow-ResCondo'!$N49:$N52)+SUMPRODUCT('CashFlow-ResCondo'!$N55:$N58,'Assumptions-ResCondo'!$P$8:$P$11))*((1+'Assumptions-Overall'!$C$34)^('CashFlow-ResCondo'!D$7-1))</f>
        <v>0</v>
      </c>
      <c r="E69" s="242">
        <f>E68*'Assumptions-ResCondo'!$I$18*(SUMPRODUCT('Assumptions-ResCondo'!$K$8:$K$11,'CashFlow-ResCondo'!$N49:$N52)+SUMPRODUCT('CashFlow-ResCondo'!$N55:$N58,'Assumptions-ResCondo'!$P$8:$P$11))*((1+'Assumptions-Overall'!$C$34)^('CashFlow-ResCondo'!E$7-1))</f>
        <v>0</v>
      </c>
      <c r="F69" s="242">
        <f>F68*'Assumptions-ResCondo'!$I$18*(SUMPRODUCT('Assumptions-ResCondo'!$K$8:$K$11,'CashFlow-ResCondo'!$N49:$N52)+SUMPRODUCT('CashFlow-ResCondo'!$N55:$N58,'Assumptions-ResCondo'!$P$8:$P$11))*((1+'Assumptions-Overall'!$C$34)^('CashFlow-ResCondo'!F$7-1))</f>
        <v>10622649.420833101</v>
      </c>
      <c r="G69" s="242">
        <f>G68*'Assumptions-ResCondo'!$I$18*(SUMPRODUCT('Assumptions-ResCondo'!$K$8:$K$11,'CashFlow-ResCondo'!$N49:$N52)+SUMPRODUCT('CashFlow-ResCondo'!$N55:$N58,'Assumptions-ResCondo'!$P$8:$P$11))*((1+'Assumptions-Overall'!$C$34)^('CashFlow-ResCondo'!G$7-1))</f>
        <v>10941328.903458096</v>
      </c>
      <c r="H69" s="242">
        <f>H68*'Assumptions-ResCondo'!$I$18*(SUMPRODUCT('Assumptions-ResCondo'!$K$8:$K$11,'CashFlow-ResCondo'!$N49:$N52)+SUMPRODUCT('CashFlow-ResCondo'!$N55:$N58,'Assumptions-ResCondo'!$P$8:$P$11))*((1+'Assumptions-Overall'!$C$34)^('CashFlow-ResCondo'!H$7-1))</f>
        <v>3756522.9235206125</v>
      </c>
      <c r="I69" s="242">
        <f>I68*'Assumptions-ResCondo'!$I$18*(SUMPRODUCT('Assumptions-ResCondo'!$K$8:$K$11,'CashFlow-ResCondo'!$N49:$N52)+SUMPRODUCT('CashFlow-ResCondo'!$N55:$N58,'Assumptions-ResCondo'!$P$8:$P$11))*((1+'Assumptions-Overall'!$C$34)^('CashFlow-ResCondo'!I$7-1))</f>
        <v>3869218.6112262304</v>
      </c>
      <c r="J69" s="242">
        <f>J68*'Assumptions-ResCondo'!$I$18*(SUMPRODUCT('Assumptions-ResCondo'!$K$8:$K$11,'CashFlow-ResCondo'!$N49:$N52)+SUMPRODUCT('CashFlow-ResCondo'!$N55:$N58,'Assumptions-ResCondo'!$P$8:$P$11))*((1+'Assumptions-Overall'!$C$34)^('CashFlow-ResCondo'!J$7-1))</f>
        <v>0</v>
      </c>
      <c r="K69" s="242">
        <f>K68*'Assumptions-ResCondo'!$I$18*(SUMPRODUCT('Assumptions-ResCondo'!$K$8:$K$11,'CashFlow-ResCondo'!$N49:$N52)+SUMPRODUCT('CashFlow-ResCondo'!$N55:$N58,'Assumptions-ResCondo'!$P$8:$P$11))*((1+'Assumptions-Overall'!$C$34)^('CashFlow-ResCondo'!K$7-1))</f>
        <v>0</v>
      </c>
      <c r="L69" s="242">
        <f>L68*'Assumptions-ResCondo'!$I$18*(SUMPRODUCT('Assumptions-ResCondo'!$K$8:$K$11,'CashFlow-ResCondo'!$N49:$N52)+SUMPRODUCT('CashFlow-ResCondo'!$N55:$N58,'Assumptions-ResCondo'!$P$8:$P$11))*((1+'Assumptions-Overall'!$C$34)^('CashFlow-ResCondo'!L$7-1))</f>
        <v>0</v>
      </c>
      <c r="M69" s="242">
        <f>M68*'Assumptions-ResCondo'!$I$18*(SUMPRODUCT('Assumptions-ResCondo'!$K$8:$K$11,'CashFlow-ResCondo'!$N49:$N52)+SUMPRODUCT('CashFlow-ResCondo'!$N55:$N58,'Assumptions-ResCondo'!$P$8:$P$11))*((1+'Assumptions-Overall'!$C$34)^('CashFlow-ResCondo'!M$7-1))</f>
        <v>0</v>
      </c>
      <c r="N69" s="247"/>
    </row>
    <row r="70" spans="2:14" x14ac:dyDescent="0.2">
      <c r="B70" s="4" t="s">
        <v>328</v>
      </c>
      <c r="C70" s="12"/>
      <c r="D70" s="242">
        <f>(D$8=YEAR(PhaseIIComplete))*SUM($D69:$M69)/'Assumptions-ResCondo'!$I$18*(1-'Assumptions-ResCondo'!$I$18)</f>
        <v>0</v>
      </c>
      <c r="E70" s="242">
        <f>(E$8=YEAR(PhaseIIComplete))*SUM($D69:$M69)/'Assumptions-ResCondo'!$I$18*(1-'Assumptions-ResCondo'!$I$18)</f>
        <v>0</v>
      </c>
      <c r="F70" s="242">
        <f>(F$8=YEAR(PhaseIIComplete))*SUM($D69:$M69)/'Assumptions-ResCondo'!$I$18*(1-'Assumptions-ResCondo'!$I$18)</f>
        <v>0</v>
      </c>
      <c r="G70" s="242">
        <f>(G$8=YEAR(PhaseIIComplete))*SUM($D69:$M69)/'Assumptions-ResCondo'!$I$18*(1-'Assumptions-ResCondo'!$I$18)</f>
        <v>0</v>
      </c>
      <c r="H70" s="242">
        <f>(H$8=YEAR(PhaseIIComplete))*SUM($D69:$M69)/'Assumptions-ResCondo'!$I$18*(1-'Assumptions-ResCondo'!$I$18)</f>
        <v>0</v>
      </c>
      <c r="I70" s="242">
        <f>(I$8=YEAR(PhaseIIComplete))*SUM($D69:$M69)/'Assumptions-ResCondo'!$I$18*(1-'Assumptions-ResCondo'!$I$18)</f>
        <v>0</v>
      </c>
      <c r="J70" s="242">
        <f>(J$8=YEAR(PhaseIIComplete))*SUM($D69:$M69)/'Assumptions-ResCondo'!$I$18*(1-'Assumptions-ResCondo'!$I$18)</f>
        <v>116758879.43615218</v>
      </c>
      <c r="K70" s="242">
        <f>(K$8=YEAR(PhaseIIComplete))*SUM($D69:$M69)/'Assumptions-ResCondo'!$I$18*(1-'Assumptions-ResCondo'!$I$18)</f>
        <v>0</v>
      </c>
      <c r="L70" s="242">
        <f>(L$8=YEAR(PhaseIIComplete))*SUM($D69:$M69)/'Assumptions-ResCondo'!$I$18*(1-'Assumptions-ResCondo'!$I$18)</f>
        <v>0</v>
      </c>
      <c r="M70" s="242">
        <f>(M$8=YEAR(PhaseIIComplete))*SUM($D69:$M69)/'Assumptions-ResCondo'!$I$18*(1-'Assumptions-ResCondo'!$I$18)</f>
        <v>0</v>
      </c>
      <c r="N70" s="247"/>
    </row>
    <row r="71" spans="2:14" x14ac:dyDescent="0.2">
      <c r="B71" s="4" t="s">
        <v>317</v>
      </c>
      <c r="C71" s="12"/>
      <c r="D71" s="240">
        <f>-SUM(D69:D70)*'Assumptions-ResCondo'!$I$20</f>
        <v>0</v>
      </c>
      <c r="E71" s="240">
        <f>-SUM(E69:E70)*'Assumptions-ResCondo'!$I$20</f>
        <v>0</v>
      </c>
      <c r="F71" s="240">
        <f>-SUM(F69:F70)*'Assumptions-ResCondo'!$I$20</f>
        <v>-318679.48262499302</v>
      </c>
      <c r="G71" s="240">
        <f>-SUM(G69:G70)*'Assumptions-ResCondo'!$I$20</f>
        <v>-328239.86710374284</v>
      </c>
      <c r="H71" s="240">
        <f>-SUM(H69:H70)*'Assumptions-ResCondo'!$I$20</f>
        <v>-112695.68770561837</v>
      </c>
      <c r="I71" s="240">
        <f>-SUM(I69:I70)*'Assumptions-ResCondo'!$I$20</f>
        <v>-116076.55833678691</v>
      </c>
      <c r="J71" s="240">
        <f>-SUM(J69:J70)*'Assumptions-ResCondo'!$I$20</f>
        <v>-3502766.3830845649</v>
      </c>
      <c r="K71" s="240">
        <f>-SUM(K69:K70)*'Assumptions-ResCondo'!$I$20</f>
        <v>0</v>
      </c>
      <c r="L71" s="240">
        <f>-SUM(L69:L70)*'Assumptions-ResCondo'!$I$20</f>
        <v>0</v>
      </c>
      <c r="M71" s="240">
        <f>-SUM(M69:M70)*'Assumptions-ResCondo'!$I$20</f>
        <v>0</v>
      </c>
      <c r="N71" s="247"/>
    </row>
    <row r="72" spans="2:14" x14ac:dyDescent="0.2">
      <c r="B72" s="4" t="s">
        <v>322</v>
      </c>
      <c r="C72" s="12"/>
      <c r="D72" s="242">
        <f t="shared" ref="D72:M72" si="24">SUM(D69:D71)</f>
        <v>0</v>
      </c>
      <c r="E72" s="242">
        <f t="shared" si="24"/>
        <v>0</v>
      </c>
      <c r="F72" s="242">
        <f t="shared" si="24"/>
        <v>10303969.938208109</v>
      </c>
      <c r="G72" s="242">
        <f t="shared" si="24"/>
        <v>10613089.036354354</v>
      </c>
      <c r="H72" s="242">
        <f t="shared" si="24"/>
        <v>3643827.2358149942</v>
      </c>
      <c r="I72" s="242">
        <f t="shared" si="24"/>
        <v>3753142.0528894435</v>
      </c>
      <c r="J72" s="242">
        <f t="shared" si="24"/>
        <v>113256113.05306761</v>
      </c>
      <c r="K72" s="242">
        <f t="shared" si="24"/>
        <v>0</v>
      </c>
      <c r="L72" s="242">
        <f t="shared" si="24"/>
        <v>0</v>
      </c>
      <c r="M72" s="242">
        <f t="shared" si="24"/>
        <v>0</v>
      </c>
      <c r="N72" s="247"/>
    </row>
    <row r="73" spans="2:14" x14ac:dyDescent="0.2">
      <c r="B73" s="4"/>
      <c r="C73" s="1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7"/>
    </row>
    <row r="74" spans="2:14" x14ac:dyDescent="0.2">
      <c r="B74" s="4" t="s">
        <v>315</v>
      </c>
      <c r="C74" s="12"/>
      <c r="D74" s="242">
        <f t="shared" ref="D74:M74" si="25">D65+D72</f>
        <v>0</v>
      </c>
      <c r="E74" s="242">
        <f t="shared" si="25"/>
        <v>0</v>
      </c>
      <c r="F74" s="242">
        <f t="shared" si="25"/>
        <v>6579758.3120101411</v>
      </c>
      <c r="G74" s="242">
        <f t="shared" si="25"/>
        <v>6888877.410156386</v>
      </c>
      <c r="H74" s="242">
        <f t="shared" si="25"/>
        <v>-35024898.828083821</v>
      </c>
      <c r="I74" s="242">
        <f t="shared" si="25"/>
        <v>-35963919.444140397</v>
      </c>
      <c r="J74" s="242">
        <f t="shared" si="25"/>
        <v>113256113.05306761</v>
      </c>
      <c r="K74" s="242">
        <f t="shared" si="25"/>
        <v>0</v>
      </c>
      <c r="L74" s="242">
        <f t="shared" si="25"/>
        <v>0</v>
      </c>
      <c r="M74" s="242">
        <f t="shared" si="25"/>
        <v>0</v>
      </c>
      <c r="N74" s="247"/>
    </row>
    <row r="75" spans="2:14" x14ac:dyDescent="0.2">
      <c r="B75" s="4" t="s">
        <v>320</v>
      </c>
      <c r="C75" s="254" t="str">
        <f>IFERROR(IRR(D74:M74),"n/a")</f>
        <v>n/a</v>
      </c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7"/>
    </row>
    <row r="76" spans="2:14" ht="12.75" thickBot="1" x14ac:dyDescent="0.25">
      <c r="B76" s="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6"/>
    </row>
    <row r="77" spans="2:14" x14ac:dyDescent="0.2"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2"/>
    </row>
    <row r="78" spans="2:14" x14ac:dyDescent="0.2">
      <c r="B78" s="243" t="s">
        <v>298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</row>
    <row r="79" spans="2:14" x14ac:dyDescent="0.2">
      <c r="B79" s="4" t="s">
        <v>293</v>
      </c>
      <c r="C79" s="12"/>
      <c r="D79" s="244">
        <f>(D$8&gt;=YEAR(PhaseIIIComplete))*SUMIFS(BuildingSummary!$C$20:$Q$20,BuildingSummary!$C$32:$Q$32,"Condominium",BuildingSummary!$C$18:$Q$18,"III")+(D$8&gt;=YEAR(PhaseIIIComplete))*SUMIFS(BuildingSummary!$C$27:$Q$27,BuildingSummary!$C$32:$Q$32,"Condominium",BuildingSummary!$C$18:$Q$18,"III")</f>
        <v>0</v>
      </c>
      <c r="E79" s="244">
        <f>(E$8&gt;=YEAR(PhaseIIIComplete))*SUMIFS(BuildingSummary!$C$20:$Q$20,BuildingSummary!$C$32:$Q$32,"Condominium",BuildingSummary!$C$18:$Q$18,"III")+(E$8&gt;=YEAR(PhaseIIIComplete))*SUMIFS(BuildingSummary!$C$27:$Q$27,BuildingSummary!$C$32:$Q$32,"Condominium",BuildingSummary!$C$18:$Q$18,"III")</f>
        <v>0</v>
      </c>
      <c r="F79" s="244">
        <f>(F$8&gt;=YEAR(PhaseIIIComplete))*SUMIFS(BuildingSummary!$C$20:$Q$20,BuildingSummary!$C$32:$Q$32,"Condominium",BuildingSummary!$C$18:$Q$18,"III")+(F$8&gt;=YEAR(PhaseIIIComplete))*SUMIFS(BuildingSummary!$C$27:$Q$27,BuildingSummary!$C$32:$Q$32,"Condominium",BuildingSummary!$C$18:$Q$18,"III")</f>
        <v>0</v>
      </c>
      <c r="G79" s="244">
        <f>(G$8&gt;=YEAR(PhaseIIIComplete))*SUMIFS(BuildingSummary!$C$20:$Q$20,BuildingSummary!$C$32:$Q$32,"Condominium",BuildingSummary!$C$18:$Q$18,"III")+(G$8&gt;=YEAR(PhaseIIIComplete))*SUMIFS(BuildingSummary!$C$27:$Q$27,BuildingSummary!$C$32:$Q$32,"Condominium",BuildingSummary!$C$18:$Q$18,"III")</f>
        <v>0</v>
      </c>
      <c r="H79" s="244">
        <f>(H$8&gt;=YEAR(PhaseIIIComplete))*SUMIFS(BuildingSummary!$C$20:$Q$20,BuildingSummary!$C$32:$Q$32,"Condominium",BuildingSummary!$C$18:$Q$18,"III")+(H$8&gt;=YEAR(PhaseIIIComplete))*SUMIFS(BuildingSummary!$C$27:$Q$27,BuildingSummary!$C$32:$Q$32,"Condominium",BuildingSummary!$C$18:$Q$18,"III")</f>
        <v>0</v>
      </c>
      <c r="I79" s="244">
        <f>(I$8&gt;=YEAR(PhaseIIIComplete))*SUMIFS(BuildingSummary!$C$20:$Q$20,BuildingSummary!$C$32:$Q$32,"Condominium",BuildingSummary!$C$18:$Q$18,"III")+(I$8&gt;=YEAR(PhaseIIIComplete))*SUMIFS(BuildingSummary!$C$27:$Q$27,BuildingSummary!$C$32:$Q$32,"Condominium",BuildingSummary!$C$18:$Q$18,"III")</f>
        <v>0</v>
      </c>
      <c r="J79" s="244">
        <f>(J$8&gt;=YEAR(PhaseIIIComplete))*SUMIFS(BuildingSummary!$C$20:$Q$20,BuildingSummary!$C$32:$Q$32,"Condominium",BuildingSummary!$C$18:$Q$18,"III")+(J$8&gt;=YEAR(PhaseIIIComplete))*SUMIFS(BuildingSummary!$C$27:$Q$27,BuildingSummary!$C$32:$Q$32,"Condominium",BuildingSummary!$C$18:$Q$18,"III")</f>
        <v>0</v>
      </c>
      <c r="K79" s="244">
        <f>(K$8&gt;=YEAR(PhaseIIIComplete))*SUMIFS(BuildingSummary!$C$20:$Q$20,BuildingSummary!$C$32:$Q$32,"Condominium",BuildingSummary!$C$18:$Q$18,"III")+(K$8&gt;=YEAR(PhaseIIIComplete))*SUMIFS(BuildingSummary!$C$27:$Q$27,BuildingSummary!$C$32:$Q$32,"Condominium",BuildingSummary!$C$18:$Q$18,"III")</f>
        <v>0</v>
      </c>
      <c r="L79" s="244">
        <f>(L$8&gt;=YEAR(PhaseIIIComplete))*SUMIFS(BuildingSummary!$C$20:$Q$20,BuildingSummary!$C$32:$Q$32,"Condominium",BuildingSummary!$C$18:$Q$18,"III")+(L$8&gt;=YEAR(PhaseIIIComplete))*SUMIFS(BuildingSummary!$C$27:$Q$27,BuildingSummary!$C$32:$Q$32,"Condominium",BuildingSummary!$C$18:$Q$18,"III")</f>
        <v>90929.256500000003</v>
      </c>
      <c r="M79" s="244">
        <f>(M$8&gt;=YEAR(PhaseIIIComplete))*SUMIFS(BuildingSummary!$C$20:$Q$20,BuildingSummary!$C$32:$Q$32,"Condominium",BuildingSummary!$C$18:$Q$18,"III")+(M$8&gt;=YEAR(PhaseIIIComplete))*SUMIFS(BuildingSummary!$C$27:$Q$27,BuildingSummary!$C$32:$Q$32,"Condominium",BuildingSummary!$C$18:$Q$18,"III")</f>
        <v>90929.256500000003</v>
      </c>
      <c r="N79" s="245">
        <f>(N$8&gt;=YEAR(PhaseIIIComplete))*SUMIFS(BuildingSummary!$C$20:$Q$20,BuildingSummary!$C$32:$Q$32,"Condominium",BuildingSummary!$C$18:$Q$18,"III")+(N$8&gt;=YEAR(PhaseIIIComplete))*SUMIFS(BuildingSummary!$C$27:$Q$27,BuildingSummary!$C$32:$Q$32,"Condominium",BuildingSummary!$C$18:$Q$18,"III")</f>
        <v>90929.256500000003</v>
      </c>
    </row>
    <row r="80" spans="2:14" x14ac:dyDescent="0.2">
      <c r="B80" s="4" t="s">
        <v>294</v>
      </c>
      <c r="C80" s="12"/>
      <c r="D80" s="244">
        <f>D79-C79</f>
        <v>0</v>
      </c>
      <c r="E80" s="244">
        <f t="shared" ref="E80" si="26">E79-D79</f>
        <v>0</v>
      </c>
      <c r="F80" s="244">
        <f t="shared" ref="F80" si="27">F79-E79</f>
        <v>0</v>
      </c>
      <c r="G80" s="244">
        <f t="shared" ref="G80" si="28">G79-F79</f>
        <v>0</v>
      </c>
      <c r="H80" s="244">
        <f t="shared" ref="H80" si="29">H79-G79</f>
        <v>0</v>
      </c>
      <c r="I80" s="244">
        <f t="shared" ref="I80" si="30">I79-H79</f>
        <v>0</v>
      </c>
      <c r="J80" s="244">
        <f t="shared" ref="J80" si="31">J79-I79</f>
        <v>0</v>
      </c>
      <c r="K80" s="244">
        <f t="shared" ref="K80" si="32">K79-J79</f>
        <v>0</v>
      </c>
      <c r="L80" s="244">
        <f t="shared" ref="L80" si="33">L79-K79</f>
        <v>90929.256500000003</v>
      </c>
      <c r="M80" s="244">
        <f t="shared" ref="M80" si="34">M79-L79</f>
        <v>0</v>
      </c>
      <c r="N80" s="245">
        <f t="shared" ref="N80" si="35">N79-M79</f>
        <v>0</v>
      </c>
    </row>
    <row r="81" spans="2:14" x14ac:dyDescent="0.2">
      <c r="B81" s="4"/>
      <c r="C81" s="12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5"/>
    </row>
    <row r="82" spans="2:14" x14ac:dyDescent="0.2">
      <c r="B82" s="53" t="s">
        <v>295</v>
      </c>
      <c r="C82" s="12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5"/>
    </row>
    <row r="83" spans="2:14" x14ac:dyDescent="0.2">
      <c r="B83" s="4" t="s">
        <v>15</v>
      </c>
      <c r="C83" s="12"/>
      <c r="D83" s="244">
        <f>(D$8&gt;=YEAR(PhaseIIIComplete))*'Assumptions-ResCondo'!$F9</f>
        <v>0</v>
      </c>
      <c r="E83" s="244">
        <f>(E$8&gt;=YEAR(PhaseIIIComplete))*'Assumptions-ResCondo'!$F9</f>
        <v>0</v>
      </c>
      <c r="F83" s="244">
        <f>(F$8&gt;=YEAR(PhaseIIIComplete))*'Assumptions-ResCondo'!$F9</f>
        <v>0</v>
      </c>
      <c r="G83" s="244">
        <f>(G$8&gt;=YEAR(PhaseIIIComplete))*'Assumptions-ResCondo'!$F9</f>
        <v>0</v>
      </c>
      <c r="H83" s="244">
        <f>(H$8&gt;=YEAR(PhaseIIIComplete))*'Assumptions-ResCondo'!$F9</f>
        <v>0</v>
      </c>
      <c r="I83" s="244">
        <f>(I$8&gt;=YEAR(PhaseIIIComplete))*'Assumptions-ResCondo'!$F9</f>
        <v>0</v>
      </c>
      <c r="J83" s="244">
        <f>(J$8&gt;=YEAR(PhaseIIIComplete))*'Assumptions-ResCondo'!$F9</f>
        <v>0</v>
      </c>
      <c r="K83" s="244">
        <f>(K$8&gt;=YEAR(PhaseIIIComplete))*'Assumptions-ResCondo'!$F9</f>
        <v>0</v>
      </c>
      <c r="L83" s="244">
        <f>(L$8&gt;=YEAR(PhaseIIIComplete))*'Assumptions-ResCondo'!$F9</f>
        <v>29</v>
      </c>
      <c r="M83" s="244">
        <f>(M$8&gt;=YEAR(PhaseIIIComplete))*'Assumptions-ResCondo'!$F9</f>
        <v>29</v>
      </c>
      <c r="N83" s="245">
        <f>(N$8&gt;=YEAR(PhaseIIIComplete))*'Assumptions-ResCondo'!$F9</f>
        <v>29</v>
      </c>
    </row>
    <row r="84" spans="2:14" x14ac:dyDescent="0.2">
      <c r="B84" s="4" t="s">
        <v>14</v>
      </c>
      <c r="C84" s="12"/>
      <c r="D84" s="244">
        <f>(D$8&gt;=YEAR(PhaseIIIComplete))*'Assumptions-ResCondo'!$F10</f>
        <v>0</v>
      </c>
      <c r="E84" s="244">
        <f>(E$8&gt;=YEAR(PhaseIIIComplete))*'Assumptions-ResCondo'!$F10</f>
        <v>0</v>
      </c>
      <c r="F84" s="244">
        <f>(F$8&gt;=YEAR(PhaseIIIComplete))*'Assumptions-ResCondo'!$F10</f>
        <v>0</v>
      </c>
      <c r="G84" s="244">
        <f>(G$8&gt;=YEAR(PhaseIIIComplete))*'Assumptions-ResCondo'!$F10</f>
        <v>0</v>
      </c>
      <c r="H84" s="244">
        <f>(H$8&gt;=YEAR(PhaseIIIComplete))*'Assumptions-ResCondo'!$F10</f>
        <v>0</v>
      </c>
      <c r="I84" s="244">
        <f>(I$8&gt;=YEAR(PhaseIIIComplete))*'Assumptions-ResCondo'!$F10</f>
        <v>0</v>
      </c>
      <c r="J84" s="244">
        <f>(J$8&gt;=YEAR(PhaseIIIComplete))*'Assumptions-ResCondo'!$F10</f>
        <v>0</v>
      </c>
      <c r="K84" s="244">
        <f>(K$8&gt;=YEAR(PhaseIIIComplete))*'Assumptions-ResCondo'!$F10</f>
        <v>0</v>
      </c>
      <c r="L84" s="244">
        <f>(L$8&gt;=YEAR(PhaseIIIComplete))*'Assumptions-ResCondo'!$F10</f>
        <v>47</v>
      </c>
      <c r="M84" s="244">
        <f>(M$8&gt;=YEAR(PhaseIIIComplete))*'Assumptions-ResCondo'!$F10</f>
        <v>47</v>
      </c>
      <c r="N84" s="245">
        <f>(N$8&gt;=YEAR(PhaseIIIComplete))*'Assumptions-ResCondo'!$F10</f>
        <v>47</v>
      </c>
    </row>
    <row r="85" spans="2:14" x14ac:dyDescent="0.2">
      <c r="B85" s="4" t="s">
        <v>13</v>
      </c>
      <c r="C85" s="12"/>
      <c r="D85" s="244">
        <f>(D$8&gt;=YEAR(PhaseIIIComplete))*'Assumptions-ResCondo'!$F11</f>
        <v>0</v>
      </c>
      <c r="E85" s="244">
        <f>(E$8&gt;=YEAR(PhaseIIIComplete))*'Assumptions-ResCondo'!$F11</f>
        <v>0</v>
      </c>
      <c r="F85" s="244">
        <f>(F$8&gt;=YEAR(PhaseIIIComplete))*'Assumptions-ResCondo'!$F11</f>
        <v>0</v>
      </c>
      <c r="G85" s="244">
        <f>(G$8&gt;=YEAR(PhaseIIIComplete))*'Assumptions-ResCondo'!$F11</f>
        <v>0</v>
      </c>
      <c r="H85" s="244">
        <f>(H$8&gt;=YEAR(PhaseIIIComplete))*'Assumptions-ResCondo'!$F11</f>
        <v>0</v>
      </c>
      <c r="I85" s="244">
        <f>(I$8&gt;=YEAR(PhaseIIIComplete))*'Assumptions-ResCondo'!$F11</f>
        <v>0</v>
      </c>
      <c r="J85" s="244">
        <f>(J$8&gt;=YEAR(PhaseIIIComplete))*'Assumptions-ResCondo'!$F11</f>
        <v>0</v>
      </c>
      <c r="K85" s="244">
        <f>(K$8&gt;=YEAR(PhaseIIIComplete))*'Assumptions-ResCondo'!$F11</f>
        <v>0</v>
      </c>
      <c r="L85" s="244">
        <f>(L$8&gt;=YEAR(PhaseIIIComplete))*'Assumptions-ResCondo'!$F11</f>
        <v>7</v>
      </c>
      <c r="M85" s="244">
        <f>(M$8&gt;=YEAR(PhaseIIIComplete))*'Assumptions-ResCondo'!$F11</f>
        <v>7</v>
      </c>
      <c r="N85" s="245">
        <f>(N$8&gt;=YEAR(PhaseIIIComplete))*'Assumptions-ResCondo'!$F11</f>
        <v>7</v>
      </c>
    </row>
    <row r="86" spans="2:14" x14ac:dyDescent="0.2">
      <c r="B86" s="4" t="s">
        <v>12</v>
      </c>
      <c r="C86" s="12"/>
      <c r="D86" s="244">
        <f>(D$8&gt;=YEAR(PhaseIIIComplete))*'Assumptions-ResCondo'!$F12</f>
        <v>0</v>
      </c>
      <c r="E86" s="244">
        <f>(E$8&gt;=YEAR(PhaseIIIComplete))*'Assumptions-ResCondo'!$F12</f>
        <v>0</v>
      </c>
      <c r="F86" s="244">
        <f>(F$8&gt;=YEAR(PhaseIIIComplete))*'Assumptions-ResCondo'!$F12</f>
        <v>0</v>
      </c>
      <c r="G86" s="244">
        <f>(G$8&gt;=YEAR(PhaseIIIComplete))*'Assumptions-ResCondo'!$F12</f>
        <v>0</v>
      </c>
      <c r="H86" s="244">
        <f>(H$8&gt;=YEAR(PhaseIIIComplete))*'Assumptions-ResCondo'!$F12</f>
        <v>0</v>
      </c>
      <c r="I86" s="244">
        <f>(I$8&gt;=YEAR(PhaseIIIComplete))*'Assumptions-ResCondo'!$F12</f>
        <v>0</v>
      </c>
      <c r="J86" s="244">
        <f>(J$8&gt;=YEAR(PhaseIIIComplete))*'Assumptions-ResCondo'!$F12</f>
        <v>0</v>
      </c>
      <c r="K86" s="244">
        <f>(K$8&gt;=YEAR(PhaseIIIComplete))*'Assumptions-ResCondo'!$F12</f>
        <v>0</v>
      </c>
      <c r="L86" s="244">
        <f>(L$8&gt;=YEAR(PhaseIIIComplete))*'Assumptions-ResCondo'!$F12</f>
        <v>4</v>
      </c>
      <c r="M86" s="244">
        <f>(M$8&gt;=YEAR(PhaseIIIComplete))*'Assumptions-ResCondo'!$F12</f>
        <v>4</v>
      </c>
      <c r="N86" s="245">
        <f>(N$8&gt;=YEAR(PhaseIIIComplete))*'Assumptions-ResCondo'!$F12</f>
        <v>4</v>
      </c>
    </row>
    <row r="87" spans="2:14" x14ac:dyDescent="0.2">
      <c r="B87" s="4"/>
      <c r="C87" s="12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5"/>
    </row>
    <row r="88" spans="2:14" x14ac:dyDescent="0.2">
      <c r="B88" s="53" t="s">
        <v>296</v>
      </c>
      <c r="C88" s="12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5"/>
    </row>
    <row r="89" spans="2:14" x14ac:dyDescent="0.2">
      <c r="B89" s="4" t="s">
        <v>15</v>
      </c>
      <c r="C89" s="12"/>
      <c r="D89" s="244">
        <f>(D$8&gt;=YEAR(PhaseIIIComplete))*'Assumptions-ResCondo'!$F17</f>
        <v>0</v>
      </c>
      <c r="E89" s="244">
        <f>(E$8&gt;=YEAR(PhaseIIIComplete))*'Assumptions-ResCondo'!$F17</f>
        <v>0</v>
      </c>
      <c r="F89" s="244">
        <f>(F$8&gt;=YEAR(PhaseIIIComplete))*'Assumptions-ResCondo'!$F17</f>
        <v>0</v>
      </c>
      <c r="G89" s="244">
        <f>(G$8&gt;=YEAR(PhaseIIIComplete))*'Assumptions-ResCondo'!$F17</f>
        <v>0</v>
      </c>
      <c r="H89" s="244">
        <f>(H$8&gt;=YEAR(PhaseIIIComplete))*'Assumptions-ResCondo'!$F17</f>
        <v>0</v>
      </c>
      <c r="I89" s="244">
        <f>(I$8&gt;=YEAR(PhaseIIIComplete))*'Assumptions-ResCondo'!$F17</f>
        <v>0</v>
      </c>
      <c r="J89" s="244">
        <f>(J$8&gt;=YEAR(PhaseIIIComplete))*'Assumptions-ResCondo'!$F17</f>
        <v>0</v>
      </c>
      <c r="K89" s="244">
        <f>(K$8&gt;=YEAR(PhaseIIIComplete))*'Assumptions-ResCondo'!$F17</f>
        <v>0</v>
      </c>
      <c r="L89" s="244">
        <f>(L$8&gt;=YEAR(PhaseIIIComplete))*'Assumptions-ResCondo'!$F17</f>
        <v>3</v>
      </c>
      <c r="M89" s="244">
        <f>(M$8&gt;=YEAR(PhaseIIIComplete))*'Assumptions-ResCondo'!$F17</f>
        <v>3</v>
      </c>
      <c r="N89" s="245">
        <f>(N$8&gt;=YEAR(PhaseIIIComplete))*'Assumptions-ResCondo'!$F17</f>
        <v>3</v>
      </c>
    </row>
    <row r="90" spans="2:14" x14ac:dyDescent="0.2">
      <c r="B90" s="4" t="s">
        <v>14</v>
      </c>
      <c r="C90" s="12"/>
      <c r="D90" s="244">
        <f>(D$8&gt;=YEAR(PhaseIIIComplete))*'Assumptions-ResCondo'!$F18</f>
        <v>0</v>
      </c>
      <c r="E90" s="244">
        <f>(E$8&gt;=YEAR(PhaseIIIComplete))*'Assumptions-ResCondo'!$F18</f>
        <v>0</v>
      </c>
      <c r="F90" s="244">
        <f>(F$8&gt;=YEAR(PhaseIIIComplete))*'Assumptions-ResCondo'!$F18</f>
        <v>0</v>
      </c>
      <c r="G90" s="244">
        <f>(G$8&gt;=YEAR(PhaseIIIComplete))*'Assumptions-ResCondo'!$F18</f>
        <v>0</v>
      </c>
      <c r="H90" s="244">
        <f>(H$8&gt;=YEAR(PhaseIIIComplete))*'Assumptions-ResCondo'!$F18</f>
        <v>0</v>
      </c>
      <c r="I90" s="244">
        <f>(I$8&gt;=YEAR(PhaseIIIComplete))*'Assumptions-ResCondo'!$F18</f>
        <v>0</v>
      </c>
      <c r="J90" s="244">
        <f>(J$8&gt;=YEAR(PhaseIIIComplete))*'Assumptions-ResCondo'!$F18</f>
        <v>0</v>
      </c>
      <c r="K90" s="244">
        <f>(K$8&gt;=YEAR(PhaseIIIComplete))*'Assumptions-ResCondo'!$F18</f>
        <v>0</v>
      </c>
      <c r="L90" s="244">
        <f>(L$8&gt;=YEAR(PhaseIIIComplete))*'Assumptions-ResCondo'!$F18</f>
        <v>4</v>
      </c>
      <c r="M90" s="244">
        <f>(M$8&gt;=YEAR(PhaseIIIComplete))*'Assumptions-ResCondo'!$F18</f>
        <v>4</v>
      </c>
      <c r="N90" s="245">
        <f>(N$8&gt;=YEAR(PhaseIIIComplete))*'Assumptions-ResCondo'!$F18</f>
        <v>4</v>
      </c>
    </row>
    <row r="91" spans="2:14" x14ac:dyDescent="0.2">
      <c r="B91" s="4" t="s">
        <v>13</v>
      </c>
      <c r="C91" s="12"/>
      <c r="D91" s="244">
        <f>(D$8&gt;=YEAR(PhaseIIIComplete))*'Assumptions-ResCondo'!$F19</f>
        <v>0</v>
      </c>
      <c r="E91" s="244">
        <f>(E$8&gt;=YEAR(PhaseIIIComplete))*'Assumptions-ResCondo'!$F19</f>
        <v>0</v>
      </c>
      <c r="F91" s="244">
        <f>(F$8&gt;=YEAR(PhaseIIIComplete))*'Assumptions-ResCondo'!$F19</f>
        <v>0</v>
      </c>
      <c r="G91" s="244">
        <f>(G$8&gt;=YEAR(PhaseIIIComplete))*'Assumptions-ResCondo'!$F19</f>
        <v>0</v>
      </c>
      <c r="H91" s="244">
        <f>(H$8&gt;=YEAR(PhaseIIIComplete))*'Assumptions-ResCondo'!$F19</f>
        <v>0</v>
      </c>
      <c r="I91" s="244">
        <f>(I$8&gt;=YEAR(PhaseIIIComplete))*'Assumptions-ResCondo'!$F19</f>
        <v>0</v>
      </c>
      <c r="J91" s="244">
        <f>(J$8&gt;=YEAR(PhaseIIIComplete))*'Assumptions-ResCondo'!$F19</f>
        <v>0</v>
      </c>
      <c r="K91" s="244">
        <f>(K$8&gt;=YEAR(PhaseIIIComplete))*'Assumptions-ResCondo'!$F19</f>
        <v>0</v>
      </c>
      <c r="L91" s="244">
        <f>(L$8&gt;=YEAR(PhaseIIIComplete))*'Assumptions-ResCondo'!$F19</f>
        <v>5</v>
      </c>
      <c r="M91" s="244">
        <f>(M$8&gt;=YEAR(PhaseIIIComplete))*'Assumptions-ResCondo'!$F19</f>
        <v>5</v>
      </c>
      <c r="N91" s="245">
        <f>(N$8&gt;=YEAR(PhaseIIIComplete))*'Assumptions-ResCondo'!$F19</f>
        <v>5</v>
      </c>
    </row>
    <row r="92" spans="2:14" x14ac:dyDescent="0.2">
      <c r="B92" s="4" t="s">
        <v>12</v>
      </c>
      <c r="C92" s="12"/>
      <c r="D92" s="244">
        <f>(D$8&gt;=YEAR(PhaseIIIComplete))*'Assumptions-ResCondo'!$F20</f>
        <v>0</v>
      </c>
      <c r="E92" s="244">
        <f>(E$8&gt;=YEAR(PhaseIIIComplete))*'Assumptions-ResCondo'!$F20</f>
        <v>0</v>
      </c>
      <c r="F92" s="244">
        <f>(F$8&gt;=YEAR(PhaseIIIComplete))*'Assumptions-ResCondo'!$F20</f>
        <v>0</v>
      </c>
      <c r="G92" s="244">
        <f>(G$8&gt;=YEAR(PhaseIIIComplete))*'Assumptions-ResCondo'!$F20</f>
        <v>0</v>
      </c>
      <c r="H92" s="244">
        <f>(H$8&gt;=YEAR(PhaseIIIComplete))*'Assumptions-ResCondo'!$F20</f>
        <v>0</v>
      </c>
      <c r="I92" s="244">
        <f>(I$8&gt;=YEAR(PhaseIIIComplete))*'Assumptions-ResCondo'!$F20</f>
        <v>0</v>
      </c>
      <c r="J92" s="244">
        <f>(J$8&gt;=YEAR(PhaseIIIComplete))*'Assumptions-ResCondo'!$F20</f>
        <v>0</v>
      </c>
      <c r="K92" s="244">
        <f>(K$8&gt;=YEAR(PhaseIIIComplete))*'Assumptions-ResCondo'!$F20</f>
        <v>0</v>
      </c>
      <c r="L92" s="244">
        <f>(L$8&gt;=YEAR(PhaseIIIComplete))*'Assumptions-ResCondo'!$F20</f>
        <v>2</v>
      </c>
      <c r="M92" s="244">
        <f>(M$8&gt;=YEAR(PhaseIIIComplete))*'Assumptions-ResCondo'!$F20</f>
        <v>2</v>
      </c>
      <c r="N92" s="245">
        <f>(N$8&gt;=YEAR(PhaseIIIComplete))*'Assumptions-ResCondo'!$F20</f>
        <v>2</v>
      </c>
    </row>
    <row r="93" spans="2:14" x14ac:dyDescent="0.2">
      <c r="B93" s="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3"/>
    </row>
    <row r="94" spans="2:14" x14ac:dyDescent="0.2">
      <c r="B94" s="53" t="s">
        <v>209</v>
      </c>
      <c r="C94" s="1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7"/>
    </row>
    <row r="95" spans="2:14" x14ac:dyDescent="0.2">
      <c r="B95" s="4" t="s">
        <v>311</v>
      </c>
      <c r="C95" s="12"/>
      <c r="D95" s="242">
        <f>-(AND(D$8&gt;=YEAR(PhaseIIIConBegin),D$8&lt;=YEAR(PhaseIIIConEnd)))*SUM($D80:$N80)*('Assumptions-Overall'!$M$10+'Assumptions-Overall'!$M$12)*(1+'Assumptions-Overall'!$C$41)^('CashFlow-ResCondo'!D$7-1)/(YEAR(PhaseIIIConEnd)-YEAR(PhaseIIIConBegin)+1)</f>
        <v>0</v>
      </c>
      <c r="E95" s="242">
        <f>-(AND(E$8&gt;=YEAR(PhaseIIIConBegin),E$8&lt;=YEAR(PhaseIIIConEnd)))*SUM($D80:$N80)*('Assumptions-Overall'!$M$10+'Assumptions-Overall'!$M$12)*(1+'Assumptions-Overall'!$C$41)^('CashFlow-ResCondo'!E$7-1)/(YEAR(PhaseIIIConEnd)-YEAR(PhaseIIIConBegin)+1)</f>
        <v>0</v>
      </c>
      <c r="F95" s="242">
        <f>-(AND(F$8&gt;=YEAR(PhaseIIIConBegin),F$8&lt;=YEAR(PhaseIIIConEnd)))*SUM($D80:$N80)*('Assumptions-Overall'!$M$10+'Assumptions-Overall'!$M$12)*(1+'Assumptions-Overall'!$C$41)^('CashFlow-ResCondo'!F$7-1)/(YEAR(PhaseIIIConEnd)-YEAR(PhaseIIIConBegin)+1)</f>
        <v>0</v>
      </c>
      <c r="G95" s="242">
        <f>-(AND(G$8&gt;=YEAR(PhaseIIIConBegin),G$8&lt;=YEAR(PhaseIIIConEnd)))*SUM($D80:$N80)*('Assumptions-Overall'!$M$10+'Assumptions-Overall'!$M$12)*(1+'Assumptions-Overall'!$C$41)^('CashFlow-ResCondo'!G$7-1)/(YEAR(PhaseIIIConEnd)-YEAR(PhaseIIIConBegin)+1)</f>
        <v>0</v>
      </c>
      <c r="H95" s="242">
        <f>-(AND(H$8&gt;=YEAR(PhaseIIIConBegin),H$8&lt;=YEAR(PhaseIIIConEnd)))*SUM($D80:$N80)*('Assumptions-Overall'!$M$10+'Assumptions-Overall'!$M$12)*(1+'Assumptions-Overall'!$C$41)^('CashFlow-ResCondo'!H$7-1)/(YEAR(PhaseIIIConEnd)-YEAR(PhaseIIIConBegin)+1)</f>
        <v>0</v>
      </c>
      <c r="I95" s="242">
        <f>-(AND(I$8&gt;=YEAR(PhaseIIIConBegin),I$8&lt;=YEAR(PhaseIIIConEnd)))*SUM($D80:$N80)*('Assumptions-Overall'!$M$10+'Assumptions-Overall'!$M$12)*(1+'Assumptions-Overall'!$C$41)^('CashFlow-ResCondo'!I$7-1)/(YEAR(PhaseIIIConEnd)-YEAR(PhaseIIIConBegin)+1)</f>
        <v>0</v>
      </c>
      <c r="J95" s="242">
        <f>-(AND(J$8&gt;=YEAR(PhaseIIIConBegin),J$8&lt;=YEAR(PhaseIIIConEnd)))*SUM($D80:$N80)*('Assumptions-Overall'!$M$10+'Assumptions-Overall'!$M$12)*(1+'Assumptions-Overall'!$C$41)^('CashFlow-ResCondo'!J$7-1)/(YEAR(PhaseIIIConEnd)-YEAR(PhaseIIIConBegin)+1)</f>
        <v>-19543371.758189909</v>
      </c>
      <c r="K95" s="242">
        <f>-(AND(K$8&gt;=YEAR(PhaseIIIConBegin),K$8&lt;=YEAR(PhaseIIIConEnd)))*SUM($D80:$N80)*('Assumptions-Overall'!$M$10+'Assumptions-Overall'!$M$12)*(1+'Assumptions-Overall'!$C$41)^('CashFlow-ResCondo'!K$7-1)/(YEAR(PhaseIIIConEnd)-YEAR(PhaseIIIConBegin)+1)</f>
        <v>-20129672.910935607</v>
      </c>
      <c r="L95" s="242">
        <f>-(AND(L$8&gt;=YEAR(PhaseIIIConBegin),L$8&lt;=YEAR(PhaseIIIConEnd)))*SUM($D80:$N80)*('Assumptions-Overall'!$M$10+'Assumptions-Overall'!$M$12)*(1+'Assumptions-Overall'!$C$41)^('CashFlow-ResCondo'!L$7-1)/(YEAR(PhaseIIIConEnd)-YEAR(PhaseIIIConBegin)+1)</f>
        <v>0</v>
      </c>
      <c r="M95" s="242">
        <f>-(AND(M$8&gt;=YEAR(PhaseIIIConBegin),M$8&lt;=YEAR(PhaseIIIConEnd)))*SUM($D80:$N80)*('Assumptions-Overall'!$M$10+'Assumptions-Overall'!$M$12)*(1+'Assumptions-Overall'!$C$41)^('CashFlow-ResCondo'!M$7-1)/(YEAR(PhaseIIIConEnd)-YEAR(PhaseIIIConBegin)+1)</f>
        <v>0</v>
      </c>
      <c r="N95" s="247"/>
    </row>
    <row r="96" spans="2:14" x14ac:dyDescent="0.2">
      <c r="B96" s="4" t="s">
        <v>312</v>
      </c>
      <c r="C96" s="12"/>
      <c r="D96" s="242">
        <f>(AND(D$8&gt;=YEAR(PhaseIIIPreconBegin),D$8&lt;=YEAR(PhaseIIIConEnd)))*SUM($D95:$N95)*'Assumptions-Overall'!$H$43/(YEAR(PhaseIIIConEnd)-YEAR(PhaseIIIPreconBegin)+1)</f>
        <v>0</v>
      </c>
      <c r="E96" s="242">
        <f>(AND(E$8&gt;=YEAR(PhaseIIIPreconBegin),E$8&lt;=YEAR(PhaseIIIConEnd)))*SUM($D95:$N95)*'Assumptions-Overall'!$H$43/(YEAR(PhaseIIIConEnd)-YEAR(PhaseIIIPreconBegin)+1)</f>
        <v>0</v>
      </c>
      <c r="F96" s="242">
        <f>(AND(F$8&gt;=YEAR(PhaseIIIPreconBegin),F$8&lt;=YEAR(PhaseIIIConEnd)))*SUM($D95:$N95)*'Assumptions-Overall'!$H$43/(YEAR(PhaseIIIConEnd)-YEAR(PhaseIIIPreconBegin)+1)</f>
        <v>0</v>
      </c>
      <c r="G96" s="242">
        <f>(AND(G$8&gt;=YEAR(PhaseIIIPreconBegin),G$8&lt;=YEAR(PhaseIIIConEnd)))*SUM($D95:$N95)*'Assumptions-Overall'!$H$43/(YEAR(PhaseIIIConEnd)-YEAR(PhaseIIIPreconBegin)+1)</f>
        <v>0</v>
      </c>
      <c r="H96" s="242">
        <f>(AND(H$8&gt;=YEAR(PhaseIIIPreconBegin),H$8&lt;=YEAR(PhaseIIIConEnd)))*SUM($D95:$N95)*'Assumptions-Overall'!$H$43/(YEAR(PhaseIIIConEnd)-YEAR(PhaseIIIPreconBegin)+1)</f>
        <v>-595095.67003688263</v>
      </c>
      <c r="I96" s="242">
        <f>(AND(I$8&gt;=YEAR(PhaseIIIPreconBegin),I$8&lt;=YEAR(PhaseIIIConEnd)))*SUM($D95:$N95)*'Assumptions-Overall'!$H$43/(YEAR(PhaseIIIConEnd)-YEAR(PhaseIIIPreconBegin)+1)</f>
        <v>-595095.67003688263</v>
      </c>
      <c r="J96" s="242">
        <f>(AND(J$8&gt;=YEAR(PhaseIIIPreconBegin),J$8&lt;=YEAR(PhaseIIIConEnd)))*SUM($D95:$N95)*'Assumptions-Overall'!$H$43/(YEAR(PhaseIIIConEnd)-YEAR(PhaseIIIPreconBegin)+1)</f>
        <v>-595095.67003688263</v>
      </c>
      <c r="K96" s="242">
        <f>(AND(K$8&gt;=YEAR(PhaseIIIPreconBegin),K$8&lt;=YEAR(PhaseIIIConEnd)))*SUM($D95:$N95)*'Assumptions-Overall'!$H$43/(YEAR(PhaseIIIConEnd)-YEAR(PhaseIIIPreconBegin)+1)</f>
        <v>-595095.67003688263</v>
      </c>
      <c r="L96" s="242">
        <f>(AND(L$8&gt;=YEAR(PhaseIIIPreconBegin),L$8&lt;=YEAR(PhaseIIIConEnd)))*SUM($D95:$N95)*'Assumptions-Overall'!$H$43/(YEAR(PhaseIIIConEnd)-YEAR(PhaseIIIPreconBegin)+1)</f>
        <v>0</v>
      </c>
      <c r="M96" s="242">
        <f>(AND(M$8&gt;=YEAR(PhaseIIIPreconBegin),M$8&lt;=YEAR(PhaseIIIConEnd)))*SUM($D95:$N95)*'Assumptions-Overall'!$H$43/(YEAR(PhaseIIIConEnd)-YEAR(PhaseIIIPreconBegin)+1)</f>
        <v>0</v>
      </c>
      <c r="N96" s="247"/>
    </row>
    <row r="97" spans="2:14" x14ac:dyDescent="0.2">
      <c r="B97" s="4" t="s">
        <v>183</v>
      </c>
      <c r="C97" s="12"/>
      <c r="D97" s="242">
        <f>(AND(D$8&gt;=YEAR(PhaseIIIPreconBegin),D$8&lt;=YEAR(PhaseIIIConEnd)))*SUM($D95:$N95)*'Assumptions-Overall'!$H$44/(YEAR(PhaseIIIConEnd)-YEAR(PhaseIIIPreconBegin)+1)</f>
        <v>0</v>
      </c>
      <c r="E97" s="242">
        <f>(AND(E$8&gt;=YEAR(PhaseIIIPreconBegin),E$8&lt;=YEAR(PhaseIIIConEnd)))*SUM($D95:$N95)*'Assumptions-Overall'!$H$44/(YEAR(PhaseIIIConEnd)-YEAR(PhaseIIIPreconBegin)+1)</f>
        <v>0</v>
      </c>
      <c r="F97" s="242">
        <f>(AND(F$8&gt;=YEAR(PhaseIIIPreconBegin),F$8&lt;=YEAR(PhaseIIIConEnd)))*SUM($D95:$N95)*'Assumptions-Overall'!$H$44/(YEAR(PhaseIIIConEnd)-YEAR(PhaseIIIPreconBegin)+1)</f>
        <v>0</v>
      </c>
      <c r="G97" s="242">
        <f>(AND(G$8&gt;=YEAR(PhaseIIIPreconBegin),G$8&lt;=YEAR(PhaseIIIConEnd)))*SUM($D95:$N95)*'Assumptions-Overall'!$H$44/(YEAR(PhaseIIIConEnd)-YEAR(PhaseIIIPreconBegin)+1)</f>
        <v>0</v>
      </c>
      <c r="H97" s="242">
        <f>(AND(H$8&gt;=YEAR(PhaseIIIPreconBegin),H$8&lt;=YEAR(PhaseIIIConEnd)))*SUM($D95:$N95)*'Assumptions-Overall'!$H$44/(YEAR(PhaseIIIConEnd)-YEAR(PhaseIIIPreconBegin)+1)</f>
        <v>-1487739.1750922066</v>
      </c>
      <c r="I97" s="242">
        <f>(AND(I$8&gt;=YEAR(PhaseIIIPreconBegin),I$8&lt;=YEAR(PhaseIIIConEnd)))*SUM($D95:$N95)*'Assumptions-Overall'!$H$44/(YEAR(PhaseIIIConEnd)-YEAR(PhaseIIIPreconBegin)+1)</f>
        <v>-1487739.1750922066</v>
      </c>
      <c r="J97" s="242">
        <f>(AND(J$8&gt;=YEAR(PhaseIIIPreconBegin),J$8&lt;=YEAR(PhaseIIIConEnd)))*SUM($D95:$N95)*'Assumptions-Overall'!$H$44/(YEAR(PhaseIIIConEnd)-YEAR(PhaseIIIPreconBegin)+1)</f>
        <v>-1487739.1750922066</v>
      </c>
      <c r="K97" s="242">
        <f>(AND(K$8&gt;=YEAR(PhaseIIIPreconBegin),K$8&lt;=YEAR(PhaseIIIConEnd)))*SUM($D95:$N95)*'Assumptions-Overall'!$H$44/(YEAR(PhaseIIIConEnd)-YEAR(PhaseIIIPreconBegin)+1)</f>
        <v>-1487739.1750922066</v>
      </c>
      <c r="L97" s="242">
        <f>(AND(L$8&gt;=YEAR(PhaseIIIPreconBegin),L$8&lt;=YEAR(PhaseIIIConEnd)))*SUM($D95:$N95)*'Assumptions-Overall'!$H$44/(YEAR(PhaseIIIConEnd)-YEAR(PhaseIIIPreconBegin)+1)</f>
        <v>0</v>
      </c>
      <c r="M97" s="242">
        <f>(AND(M$8&gt;=YEAR(PhaseIIIPreconBegin),M$8&lt;=YEAR(PhaseIIIConEnd)))*SUM($D95:$N95)*'Assumptions-Overall'!$H$44/(YEAR(PhaseIIIConEnd)-YEAR(PhaseIIIPreconBegin)+1)</f>
        <v>0</v>
      </c>
      <c r="N97" s="247"/>
    </row>
    <row r="98" spans="2:14" x14ac:dyDescent="0.2">
      <c r="B98" s="4" t="s">
        <v>184</v>
      </c>
      <c r="C98" s="12"/>
      <c r="D98" s="240">
        <f>SUM(D95:D97)*'Assumptions-Overall'!$H$45</f>
        <v>0</v>
      </c>
      <c r="E98" s="240">
        <f>SUM(E95:E97)*'Assumptions-Overall'!$H$45</f>
        <v>0</v>
      </c>
      <c r="F98" s="240">
        <f>SUM(F95:F97)*'Assumptions-Overall'!$H$45</f>
        <v>0</v>
      </c>
      <c r="G98" s="240">
        <f>SUM(G95:G97)*'Assumptions-Overall'!$H$45</f>
        <v>0</v>
      </c>
      <c r="H98" s="240">
        <f>SUM(H95:H97)*'Assumptions-Overall'!$H$45</f>
        <v>-62485.045353872672</v>
      </c>
      <c r="I98" s="240">
        <f>SUM(I95:I97)*'Assumptions-Overall'!$H$45</f>
        <v>-62485.045353872672</v>
      </c>
      <c r="J98" s="240">
        <f>SUM(J95:J97)*'Assumptions-Overall'!$H$45</f>
        <v>-648786.19809956988</v>
      </c>
      <c r="K98" s="240">
        <f>SUM(K95:K97)*'Assumptions-Overall'!$H$45</f>
        <v>-666375.23268194078</v>
      </c>
      <c r="L98" s="240">
        <f>SUM(L95:L97)*'Assumptions-Overall'!$H$45</f>
        <v>0</v>
      </c>
      <c r="M98" s="240">
        <f>SUM(M95:M97)*'Assumptions-Overall'!$H$45</f>
        <v>0</v>
      </c>
      <c r="N98" s="247"/>
    </row>
    <row r="99" spans="2:14" x14ac:dyDescent="0.2">
      <c r="B99" s="4" t="s">
        <v>313</v>
      </c>
      <c r="C99" s="12"/>
      <c r="D99" s="242">
        <f>SUM(D95:D98)</f>
        <v>0</v>
      </c>
      <c r="E99" s="242">
        <f t="shared" ref="E99" si="36">SUM(E95:E98)</f>
        <v>0</v>
      </c>
      <c r="F99" s="242">
        <f t="shared" ref="F99" si="37">SUM(F95:F98)</f>
        <v>0</v>
      </c>
      <c r="G99" s="242">
        <f t="shared" ref="G99" si="38">SUM(G95:G98)</f>
        <v>0</v>
      </c>
      <c r="H99" s="242">
        <f t="shared" ref="H99" si="39">SUM(H95:H98)</f>
        <v>-2145319.8904829617</v>
      </c>
      <c r="I99" s="242">
        <f t="shared" ref="I99" si="40">SUM(I95:I98)</f>
        <v>-2145319.8904829617</v>
      </c>
      <c r="J99" s="242">
        <f t="shared" ref="J99" si="41">SUM(J95:J98)</f>
        <v>-22274992.801418565</v>
      </c>
      <c r="K99" s="242">
        <f t="shared" ref="K99" si="42">SUM(K95:K98)</f>
        <v>-22878882.988746636</v>
      </c>
      <c r="L99" s="242">
        <f t="shared" ref="L99" si="43">SUM(L95:L98)</f>
        <v>0</v>
      </c>
      <c r="M99" s="242">
        <f t="shared" ref="M99" si="44">SUM(M95:M98)</f>
        <v>0</v>
      </c>
      <c r="N99" s="247"/>
    </row>
    <row r="100" spans="2:14" x14ac:dyDescent="0.2">
      <c r="B100" s="4"/>
      <c r="C100" s="1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7"/>
    </row>
    <row r="101" spans="2:14" x14ac:dyDescent="0.2">
      <c r="B101" s="53" t="s">
        <v>258</v>
      </c>
      <c r="C101" s="1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7"/>
    </row>
    <row r="102" spans="2:14" x14ac:dyDescent="0.2">
      <c r="B102" s="4" t="s">
        <v>324</v>
      </c>
      <c r="C102" s="12"/>
      <c r="D102" s="211">
        <f>(AND(D$8&gt;=YEAR(PhaseIIIPreconBegin),D$8&lt;YEAR(PhaseIIIConBegin)))*'Assumptions-ResCondo'!$I$15/(YEAR(PhaseIIIConBegin)-YEAR(PhaseIIIPreconBegin))+(AND(D$8&gt;=YEAR(PhaseIIIConBegin),D$8&lt;=YEAR(PhaseIIIConEnd)))*'Assumptions-ResCondo'!$I$16/(YEAR(PhaseIIIConEnd)-YEAR(PhaseIIIConBegin)+1)</f>
        <v>0</v>
      </c>
      <c r="E102" s="211">
        <f>(AND(E$8&gt;=YEAR(PhaseIIIPreconBegin),E$8&lt;YEAR(PhaseIIIConBegin)))*'Assumptions-ResCondo'!$I$15/(YEAR(PhaseIIIConBegin)-YEAR(PhaseIIIPreconBegin))+(AND(E$8&gt;=YEAR(PhaseIIIConBegin),E$8&lt;=YEAR(PhaseIIIConEnd)))*'Assumptions-ResCondo'!$I$16/(YEAR(PhaseIIIConEnd)-YEAR(PhaseIIIConBegin)+1)</f>
        <v>0</v>
      </c>
      <c r="F102" s="211">
        <f>(AND(F$8&gt;=YEAR(PhaseIIIPreconBegin),F$8&lt;YEAR(PhaseIIIConBegin)))*'Assumptions-ResCondo'!$I$15/(YEAR(PhaseIIIConBegin)-YEAR(PhaseIIIPreconBegin))+(AND(F$8&gt;=YEAR(PhaseIIIConBegin),F$8&lt;=YEAR(PhaseIIIConEnd)))*'Assumptions-ResCondo'!$I$16/(YEAR(PhaseIIIConEnd)-YEAR(PhaseIIIConBegin)+1)</f>
        <v>0</v>
      </c>
      <c r="G102" s="211">
        <f>(AND(G$8&gt;=YEAR(PhaseIIIPreconBegin),G$8&lt;YEAR(PhaseIIIConBegin)))*'Assumptions-ResCondo'!$I$15/(YEAR(PhaseIIIConBegin)-YEAR(PhaseIIIPreconBegin))+(AND(G$8&gt;=YEAR(PhaseIIIConBegin),G$8&lt;=YEAR(PhaseIIIConEnd)))*'Assumptions-ResCondo'!$I$16/(YEAR(PhaseIIIConEnd)-YEAR(PhaseIIIConBegin)+1)</f>
        <v>0</v>
      </c>
      <c r="H102" s="211">
        <f>(AND(H$8&gt;=YEAR(PhaseIIIPreconBegin),H$8&lt;YEAR(PhaseIIIConBegin)))*'Assumptions-ResCondo'!$I$15/(YEAR(PhaseIIIConBegin)-YEAR(PhaseIIIPreconBegin))+(AND(H$8&gt;=YEAR(PhaseIIIConBegin),H$8&lt;=YEAR(PhaseIIIConEnd)))*'Assumptions-ResCondo'!$I$16/(YEAR(PhaseIIIConEnd)-YEAR(PhaseIIIConBegin)+1)</f>
        <v>0.375</v>
      </c>
      <c r="I102" s="211">
        <f>(AND(I$8&gt;=YEAR(PhaseIIIPreconBegin),I$8&lt;YEAR(PhaseIIIConBegin)))*'Assumptions-ResCondo'!$I$15/(YEAR(PhaseIIIConBegin)-YEAR(PhaseIIIPreconBegin))+(AND(I$8&gt;=YEAR(PhaseIIIConBegin),I$8&lt;=YEAR(PhaseIIIConEnd)))*'Assumptions-ResCondo'!$I$16/(YEAR(PhaseIIIConEnd)-YEAR(PhaseIIIConBegin)+1)</f>
        <v>0.375</v>
      </c>
      <c r="J102" s="211">
        <f>(AND(J$8&gt;=YEAR(PhaseIIIPreconBegin),J$8&lt;YEAR(PhaseIIIConBegin)))*'Assumptions-ResCondo'!$I$15/(YEAR(PhaseIIIConBegin)-YEAR(PhaseIIIPreconBegin))+(AND(J$8&gt;=YEAR(PhaseIIIConBegin),J$8&lt;=YEAR(PhaseIIIConEnd)))*'Assumptions-ResCondo'!$I$16/(YEAR(PhaseIIIConEnd)-YEAR(PhaseIIIConBegin)+1)</f>
        <v>0.125</v>
      </c>
      <c r="K102" s="211">
        <f>(AND(K$8&gt;=YEAR(PhaseIIIPreconBegin),K$8&lt;YEAR(PhaseIIIConBegin)))*'Assumptions-ResCondo'!$I$15/(YEAR(PhaseIIIConBegin)-YEAR(PhaseIIIPreconBegin))+(AND(K$8&gt;=YEAR(PhaseIIIConBegin),K$8&lt;=YEAR(PhaseIIIConEnd)))*'Assumptions-ResCondo'!$I$16/(YEAR(PhaseIIIConEnd)-YEAR(PhaseIIIConBegin)+1)</f>
        <v>0.125</v>
      </c>
      <c r="L102" s="211">
        <f>(AND(L$8&gt;=YEAR(PhaseIIIPreconBegin),L$8&lt;YEAR(PhaseIIIConBegin)))*'Assumptions-ResCondo'!$I$15/(YEAR(PhaseIIIConBegin)-YEAR(PhaseIIIPreconBegin))+(AND(L$8&gt;=YEAR(PhaseIIIConBegin),L$8&lt;=YEAR(PhaseIIIConEnd)))*'Assumptions-ResCondo'!$I$16/(YEAR(PhaseIIIConEnd)-YEAR(PhaseIIIConBegin)+1)</f>
        <v>0</v>
      </c>
      <c r="M102" s="211">
        <f>(AND(M$8&gt;=YEAR(PhaseIIIPreconBegin),M$8&lt;YEAR(PhaseIIIConBegin)))*'Assumptions-ResCondo'!$I$15/(YEAR(PhaseIIIConBegin)-YEAR(PhaseIIIPreconBegin))+(AND(M$8&gt;=YEAR(PhaseIIIConBegin),M$8&lt;=YEAR(PhaseIIIConEnd)))*'Assumptions-ResCondo'!$I$16/(YEAR(PhaseIIIConEnd)-YEAR(PhaseIIIConBegin)+1)</f>
        <v>0</v>
      </c>
      <c r="N102" s="247"/>
    </row>
    <row r="103" spans="2:14" x14ac:dyDescent="0.2">
      <c r="B103" s="4" t="s">
        <v>325</v>
      </c>
      <c r="C103" s="12"/>
      <c r="D103" s="242">
        <f>D102*'Assumptions-ResCondo'!$I$18*(SUMPRODUCT('Assumptions-ResCondo'!$K$8:$K$11,'CashFlow-ResCondo'!$N83:$N86)+SUMPRODUCT('CashFlow-ResCondo'!$N89:$N92,'Assumptions-ResCondo'!$P$8:$P$11))*((1+'Assumptions-Overall'!$C$34)^('CashFlow-ResCondo'!D$7-1))</f>
        <v>0</v>
      </c>
      <c r="E103" s="242">
        <f>E102*'Assumptions-ResCondo'!$I$18*(SUMPRODUCT('Assumptions-ResCondo'!$K$8:$K$11,'CashFlow-ResCondo'!$N83:$N86)+SUMPRODUCT('CashFlow-ResCondo'!$N89:$N92,'Assumptions-ResCondo'!$P$8:$P$11))*((1+'Assumptions-Overall'!$C$34)^('CashFlow-ResCondo'!E$7-1))</f>
        <v>0</v>
      </c>
      <c r="F103" s="242">
        <f>F102*'Assumptions-ResCondo'!$I$18*(SUMPRODUCT('Assumptions-ResCondo'!$K$8:$K$11,'CashFlow-ResCondo'!$N83:$N86)+SUMPRODUCT('CashFlow-ResCondo'!$N89:$N92,'Assumptions-ResCondo'!$P$8:$P$11))*((1+'Assumptions-Overall'!$C$34)^('CashFlow-ResCondo'!F$7-1))</f>
        <v>0</v>
      </c>
      <c r="G103" s="242">
        <f>G102*'Assumptions-ResCondo'!$I$18*(SUMPRODUCT('Assumptions-ResCondo'!$K$8:$K$11,'CashFlow-ResCondo'!$N83:$N86)+SUMPRODUCT('CashFlow-ResCondo'!$N89:$N92,'Assumptions-ResCondo'!$P$8:$P$11))*((1+'Assumptions-Overall'!$C$34)^('CashFlow-ResCondo'!G$7-1))</f>
        <v>0</v>
      </c>
      <c r="H103" s="242">
        <f>H102*'Assumptions-ResCondo'!$I$18*(SUMPRODUCT('Assumptions-ResCondo'!$K$8:$K$11,'CashFlow-ResCondo'!$N83:$N86)+SUMPRODUCT('CashFlow-ResCondo'!$N89:$N92,'Assumptions-ResCondo'!$P$8:$P$11))*((1+'Assumptions-Overall'!$C$34)^('CashFlow-ResCondo'!H$7-1))</f>
        <v>5667622.9619198488</v>
      </c>
      <c r="I103" s="242">
        <f>I102*'Assumptions-ResCondo'!$I$18*(SUMPRODUCT('Assumptions-ResCondo'!$K$8:$K$11,'CashFlow-ResCondo'!$N83:$N86)+SUMPRODUCT('CashFlow-ResCondo'!$N89:$N92,'Assumptions-ResCondo'!$P$8:$P$11))*((1+'Assumptions-Overall'!$C$34)^('CashFlow-ResCondo'!I$7-1))</f>
        <v>5837651.6507774433</v>
      </c>
      <c r="J103" s="242">
        <f>J102*'Assumptions-ResCondo'!$I$18*(SUMPRODUCT('Assumptions-ResCondo'!$K$8:$K$11,'CashFlow-ResCondo'!$N83:$N86)+SUMPRODUCT('CashFlow-ResCondo'!$N89:$N92,'Assumptions-ResCondo'!$P$8:$P$11))*((1+'Assumptions-Overall'!$C$34)^('CashFlow-ResCondo'!J$7-1))</f>
        <v>2004260.4001002554</v>
      </c>
      <c r="K103" s="242">
        <f>K102*'Assumptions-ResCondo'!$I$18*(SUMPRODUCT('Assumptions-ResCondo'!$K$8:$K$11,'CashFlow-ResCondo'!$N83:$N86)+SUMPRODUCT('CashFlow-ResCondo'!$N89:$N92,'Assumptions-ResCondo'!$P$8:$P$11))*((1+'Assumptions-Overall'!$C$34)^('CashFlow-ResCondo'!K$7-1))</f>
        <v>2064388.2121032632</v>
      </c>
      <c r="L103" s="242">
        <f>L102*'Assumptions-ResCondo'!$I$18*(SUMPRODUCT('Assumptions-ResCondo'!$K$8:$K$11,'CashFlow-ResCondo'!$N83:$N86)+SUMPRODUCT('CashFlow-ResCondo'!$N89:$N92,'Assumptions-ResCondo'!$P$8:$P$11))*((1+'Assumptions-Overall'!$C$34)^('CashFlow-ResCondo'!L$7-1))</f>
        <v>0</v>
      </c>
      <c r="M103" s="242">
        <f>M102*'Assumptions-ResCondo'!$I$18*(SUMPRODUCT('Assumptions-ResCondo'!$K$8:$K$11,'CashFlow-ResCondo'!$N83:$N86)+SUMPRODUCT('CashFlow-ResCondo'!$N89:$N92,'Assumptions-ResCondo'!$P$8:$P$11))*((1+'Assumptions-Overall'!$C$34)^('CashFlow-ResCondo'!M$7-1))</f>
        <v>0</v>
      </c>
      <c r="N103" s="247"/>
    </row>
    <row r="104" spans="2:14" x14ac:dyDescent="0.2">
      <c r="B104" s="4" t="s">
        <v>328</v>
      </c>
      <c r="C104" s="12"/>
      <c r="D104" s="242">
        <f>(D$8=YEAR(PhaseIIIComplete))*SUM($D103:$M103)/'Assumptions-ResCondo'!$I$18*(1-'Assumptions-ResCondo'!$I$18)</f>
        <v>0</v>
      </c>
      <c r="E104" s="242">
        <f>(E$8=YEAR(PhaseIIIComplete))*SUM($D103:$M103)/'Assumptions-ResCondo'!$I$18*(1-'Assumptions-ResCondo'!$I$18)</f>
        <v>0</v>
      </c>
      <c r="F104" s="242">
        <f>(F$8=YEAR(PhaseIIIComplete))*SUM($D103:$M103)/'Assumptions-ResCondo'!$I$18*(1-'Assumptions-ResCondo'!$I$18)</f>
        <v>0</v>
      </c>
      <c r="G104" s="242">
        <f>(G$8=YEAR(PhaseIIIComplete))*SUM($D103:$M103)/'Assumptions-ResCondo'!$I$18*(1-'Assumptions-ResCondo'!$I$18)</f>
        <v>0</v>
      </c>
      <c r="H104" s="242">
        <f>(H$8=YEAR(PhaseIIIComplete))*SUM($D103:$M103)/'Assumptions-ResCondo'!$I$18*(1-'Assumptions-ResCondo'!$I$18)</f>
        <v>0</v>
      </c>
      <c r="I104" s="242">
        <f>(I$8=YEAR(PhaseIIIComplete))*SUM($D103:$M103)/'Assumptions-ResCondo'!$I$18*(1-'Assumptions-ResCondo'!$I$18)</f>
        <v>0</v>
      </c>
      <c r="J104" s="242">
        <f>(J$8=YEAR(PhaseIIIComplete))*SUM($D103:$M103)/'Assumptions-ResCondo'!$I$18*(1-'Assumptions-ResCondo'!$I$18)</f>
        <v>0</v>
      </c>
      <c r="K104" s="242">
        <f>(K$8=YEAR(PhaseIIIComplete))*SUM($D103:$M103)/'Assumptions-ResCondo'!$I$18*(1-'Assumptions-ResCondo'!$I$18)</f>
        <v>0</v>
      </c>
      <c r="L104" s="242">
        <f>(L$8=YEAR(PhaseIIIComplete))*SUM($D103:$M103)/'Assumptions-ResCondo'!$I$18*(1-'Assumptions-ResCondo'!$I$18)</f>
        <v>62295692.89960324</v>
      </c>
      <c r="M104" s="242">
        <f>(M$8=YEAR(PhaseIIIComplete))*SUM($D103:$M103)/'Assumptions-ResCondo'!$I$18*(1-'Assumptions-ResCondo'!$I$18)</f>
        <v>0</v>
      </c>
      <c r="N104" s="247"/>
    </row>
    <row r="105" spans="2:14" x14ac:dyDescent="0.2">
      <c r="B105" s="4" t="s">
        <v>317</v>
      </c>
      <c r="C105" s="12"/>
      <c r="D105" s="240">
        <f>-SUM(D103:D104)*'Assumptions-ResCondo'!$I$20</f>
        <v>0</v>
      </c>
      <c r="E105" s="240">
        <f>-SUM(E103:E104)*'Assumptions-ResCondo'!$I$20</f>
        <v>0</v>
      </c>
      <c r="F105" s="240">
        <f>-SUM(F103:F104)*'Assumptions-ResCondo'!$I$20</f>
        <v>0</v>
      </c>
      <c r="G105" s="240">
        <f>-SUM(G103:G104)*'Assumptions-ResCondo'!$I$20</f>
        <v>0</v>
      </c>
      <c r="H105" s="240">
        <f>-SUM(H103:H104)*'Assumptions-ResCondo'!$I$20</f>
        <v>-170028.68885759547</v>
      </c>
      <c r="I105" s="240">
        <f>-SUM(I103:I104)*'Assumptions-ResCondo'!$I$20</f>
        <v>-175129.54952332328</v>
      </c>
      <c r="J105" s="240">
        <f>-SUM(J103:J104)*'Assumptions-ResCondo'!$I$20</f>
        <v>-60127.812003007661</v>
      </c>
      <c r="K105" s="240">
        <f>-SUM(K103:K104)*'Assumptions-ResCondo'!$I$20</f>
        <v>-61931.646363097898</v>
      </c>
      <c r="L105" s="240">
        <f>-SUM(L103:L104)*'Assumptions-ResCondo'!$I$20</f>
        <v>-1868870.7869880972</v>
      </c>
      <c r="M105" s="240">
        <f>-SUM(M103:M104)*'Assumptions-ResCondo'!$I$20</f>
        <v>0</v>
      </c>
      <c r="N105" s="247"/>
    </row>
    <row r="106" spans="2:14" x14ac:dyDescent="0.2">
      <c r="B106" s="4" t="s">
        <v>322</v>
      </c>
      <c r="C106" s="12"/>
      <c r="D106" s="242">
        <f t="shared" ref="D106:M106" si="45">SUM(D103:D105)</f>
        <v>0</v>
      </c>
      <c r="E106" s="242">
        <f t="shared" si="45"/>
        <v>0</v>
      </c>
      <c r="F106" s="242">
        <f t="shared" si="45"/>
        <v>0</v>
      </c>
      <c r="G106" s="242">
        <f t="shared" si="45"/>
        <v>0</v>
      </c>
      <c r="H106" s="242">
        <f t="shared" si="45"/>
        <v>5497594.2730622534</v>
      </c>
      <c r="I106" s="242">
        <f t="shared" si="45"/>
        <v>5662522.1012541205</v>
      </c>
      <c r="J106" s="242">
        <f t="shared" si="45"/>
        <v>1944132.5880972478</v>
      </c>
      <c r="K106" s="242">
        <f t="shared" si="45"/>
        <v>2002456.5657401653</v>
      </c>
      <c r="L106" s="242">
        <f t="shared" si="45"/>
        <v>60426822.112615146</v>
      </c>
      <c r="M106" s="242">
        <f t="shared" si="45"/>
        <v>0</v>
      </c>
      <c r="N106" s="247"/>
    </row>
    <row r="107" spans="2:14" x14ac:dyDescent="0.2">
      <c r="B107" s="4"/>
      <c r="C107" s="1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7"/>
    </row>
    <row r="108" spans="2:14" x14ac:dyDescent="0.2">
      <c r="B108" s="4" t="s">
        <v>315</v>
      </c>
      <c r="C108" s="12"/>
      <c r="D108" s="242">
        <f t="shared" ref="D108:M108" si="46">D99+D106</f>
        <v>0</v>
      </c>
      <c r="E108" s="242">
        <f t="shared" si="46"/>
        <v>0</v>
      </c>
      <c r="F108" s="242">
        <f t="shared" si="46"/>
        <v>0</v>
      </c>
      <c r="G108" s="242">
        <f t="shared" si="46"/>
        <v>0</v>
      </c>
      <c r="H108" s="242">
        <f t="shared" si="46"/>
        <v>3352274.3825792917</v>
      </c>
      <c r="I108" s="242">
        <f t="shared" si="46"/>
        <v>3517202.2107711588</v>
      </c>
      <c r="J108" s="242">
        <f t="shared" si="46"/>
        <v>-20330860.213321317</v>
      </c>
      <c r="K108" s="242">
        <f t="shared" si="46"/>
        <v>-20876426.423006471</v>
      </c>
      <c r="L108" s="242">
        <f t="shared" si="46"/>
        <v>60426822.112615146</v>
      </c>
      <c r="M108" s="242">
        <f t="shared" si="46"/>
        <v>0</v>
      </c>
      <c r="N108" s="247"/>
    </row>
    <row r="109" spans="2:14" x14ac:dyDescent="0.2">
      <c r="B109" s="4" t="s">
        <v>320</v>
      </c>
      <c r="C109" s="254" t="str">
        <f>IFERROR(IRR(D108:M108),"n/a")</f>
        <v>n/a</v>
      </c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7"/>
    </row>
    <row r="110" spans="2:14" ht="12.75" thickBot="1" x14ac:dyDescent="0.25">
      <c r="B110" s="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6"/>
    </row>
    <row r="112" spans="2:14" x14ac:dyDescent="0.2">
      <c r="B112" s="1" t="s">
        <v>407</v>
      </c>
      <c r="D112" s="285">
        <f>D108+D74+D40</f>
        <v>9929263.1025834922</v>
      </c>
      <c r="E112" s="285">
        <f t="shared" ref="E112:M112" si="47">E108+E74+E40</f>
        <v>10488511.956624122</v>
      </c>
      <c r="F112" s="285">
        <f t="shared" si="47"/>
        <v>-77288983.910713851</v>
      </c>
      <c r="G112" s="285">
        <f t="shared" si="47"/>
        <v>-79234556.118286222</v>
      </c>
      <c r="H112" s="285">
        <f t="shared" si="47"/>
        <v>173226884.57175782</v>
      </c>
      <c r="I112" s="285">
        <f t="shared" si="47"/>
        <v>-32446717.233369239</v>
      </c>
      <c r="J112" s="285">
        <f t="shared" si="47"/>
        <v>92925252.839746296</v>
      </c>
      <c r="K112" s="285">
        <f t="shared" si="47"/>
        <v>-20876426.423006471</v>
      </c>
      <c r="L112" s="285">
        <f t="shared" si="47"/>
        <v>60426822.112615146</v>
      </c>
      <c r="M112" s="285">
        <f t="shared" si="47"/>
        <v>0</v>
      </c>
    </row>
    <row r="113" spans="2:3" x14ac:dyDescent="0.2">
      <c r="B113" s="1" t="s">
        <v>408</v>
      </c>
      <c r="C113" s="286">
        <f>IRR(D112:M112)</f>
        <v>0.45187670299415217</v>
      </c>
    </row>
  </sheetData>
  <mergeCells count="2">
    <mergeCell ref="B2:C2"/>
    <mergeCell ref="B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SummarySheet1</vt:lpstr>
      <vt:lpstr>SummarySheet2</vt:lpstr>
      <vt:lpstr>CashFlow-Combined</vt:lpstr>
      <vt:lpstr>BuildingSummary</vt:lpstr>
      <vt:lpstr>Assumptions-Overall</vt:lpstr>
      <vt:lpstr>Assumptions-ResRental</vt:lpstr>
      <vt:lpstr>CashFlow-ResRental</vt:lpstr>
      <vt:lpstr>Assumptions-ResCondo</vt:lpstr>
      <vt:lpstr>CashFlow-ResCondo</vt:lpstr>
      <vt:lpstr>Assumptions-Retail</vt:lpstr>
      <vt:lpstr>CashFlow-Retail</vt:lpstr>
      <vt:lpstr>Assumptions-Office</vt:lpstr>
      <vt:lpstr>CashFlow-Office</vt:lpstr>
      <vt:lpstr>Assumptions-Hotel</vt:lpstr>
      <vt:lpstr>CashFlow-Hotel</vt:lpstr>
      <vt:lpstr>Assumptions-Parking</vt:lpstr>
      <vt:lpstr>CashFlow-Parking</vt:lpstr>
      <vt:lpstr>Assumptions-Land&amp;Infrastructure</vt:lpstr>
      <vt:lpstr>LandPhaseI</vt:lpstr>
      <vt:lpstr>LandPhaseII</vt:lpstr>
      <vt:lpstr>LandPhaseIII</vt:lpstr>
      <vt:lpstr>LandSF</vt:lpstr>
      <vt:lpstr>PhaseIComplete</vt:lpstr>
      <vt:lpstr>PhaseIConBegin</vt:lpstr>
      <vt:lpstr>PhaseIConEnd</vt:lpstr>
      <vt:lpstr>PhaseIIComplete</vt:lpstr>
      <vt:lpstr>PhaseIIConBegin</vt:lpstr>
      <vt:lpstr>PhaseIIConEnd</vt:lpstr>
      <vt:lpstr>PhaseIIIComplete</vt:lpstr>
      <vt:lpstr>PhaseIIIConBegin</vt:lpstr>
      <vt:lpstr>PhaseIIIConEnd</vt:lpstr>
      <vt:lpstr>PhaseIIIPreconBegin</vt:lpstr>
      <vt:lpstr>PhaseIIIRefi</vt:lpstr>
      <vt:lpstr>PhaseIIPreconBegin</vt:lpstr>
      <vt:lpstr>PhaseIIRefi</vt:lpstr>
      <vt:lpstr>PhaseIPreconBegin</vt:lpstr>
      <vt:lpstr>PhaseIRefi</vt:lpstr>
      <vt:lpstr>SummarySheet1!Print_Area</vt:lpstr>
      <vt:lpstr>ProjectName</vt:lpstr>
      <vt:lpstr>TeamNumber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pheydweiller</dc:creator>
  <cp:lastModifiedBy>pheydweiller</cp:lastModifiedBy>
  <cp:lastPrinted>2018-01-29T17:35:53Z</cp:lastPrinted>
  <dcterms:created xsi:type="dcterms:W3CDTF">2018-01-24T23:14:53Z</dcterms:created>
  <dcterms:modified xsi:type="dcterms:W3CDTF">2018-01-29T18:34:18Z</dcterms:modified>
</cp:coreProperties>
</file>